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tables/table1.xml" ContentType="application/vnd.openxmlformats-officedocument.spreadsheetml.table+xml"/>
  <Override PartName="/xl/drawings/drawing2.xml" ContentType="application/vnd.openxmlformats-officedocument.drawing+xml"/>
  <Override PartName="/xl/ctrlProps/ctrlProp4.xml" ContentType="application/vnd.ms-excel.controlproperties+xml"/>
  <Override PartName="/xl/drawings/drawing3.xml" ContentType="application/vnd.openxmlformats-officedocument.drawing+xml"/>
  <Override PartName="/xl/ctrlProps/ctrlProp5.xml" ContentType="application/vnd.ms-excel.controlproperties+xml"/>
  <Override PartName="/xl/drawings/drawing4.xml" ContentType="application/vnd.openxmlformats-officedocument.drawing+xml"/>
  <Override PartName="/xl/ctrlProps/ctrlProp6.xml" ContentType="application/vnd.ms-excel.controlproperties+xml"/>
  <Override PartName="/xl/drawings/drawing5.xml" ContentType="application/vnd.openxmlformats-officedocument.drawing+xml"/>
  <Override PartName="/xl/ctrlProps/ctrlProp7.xml" ContentType="application/vnd.ms-excel.controlproperties+xml"/>
  <Override PartName="/xl/ctrlProps/ctrlProp8.xml" ContentType="application/vnd.ms-excel.controlproperties+xml"/>
  <Override PartName="/xl/tables/table2.xml" ContentType="application/vnd.openxmlformats-officedocument.spreadsheetml.table+xml"/>
  <Override PartName="/xl/drawings/drawing6.xml" ContentType="application/vnd.openxmlformats-officedocument.drawing+xml"/>
  <Override PartName="/xl/ctrlProps/ctrlProp9.xml" ContentType="application/vnd.ms-excel.controlproperties+xml"/>
  <Override PartName="/xl/drawings/drawing7.xml" ContentType="application/vnd.openxmlformats-officedocument.drawing+xml"/>
  <Override PartName="/xl/ctrlProps/ctrlProp10.xml" ContentType="application/vnd.ms-excel.controlproperties+xml"/>
  <Override PartName="/xl/drawings/drawing8.xml" ContentType="application/vnd.openxmlformats-officedocument.drawing+xml"/>
  <Override PartName="/xl/ctrlProps/ctrlProp11.xml" ContentType="application/vnd.ms-excel.controlproperties+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drawings/drawing9.xml" ContentType="application/vnd.openxmlformats-officedocument.drawing+xml"/>
  <Override PartName="/xl/ctrlProps/ctrlProp12.xml" ContentType="application/vnd.ms-excel.controlproperties+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tables/table13.xml" ContentType="application/vnd.openxmlformats-officedocument.spreadsheetml.table+xml"/>
  <Override PartName="/xl/tables/table14.xml" ContentType="application/vnd.openxmlformats-officedocument.spreadsheetml.table+xml"/>
  <Override PartName="/xl/tables/table15.xml" ContentType="application/vnd.openxmlformats-officedocument.spreadsheetml.table+xml"/>
  <Override PartName="/xl/tables/table16.xml" ContentType="application/vnd.openxmlformats-officedocument.spreadsheetml.table+xml"/>
  <Override PartName="/xl/tables/table17.xml" ContentType="application/vnd.openxmlformats-officedocument.spreadsheetml.table+xml"/>
  <Override PartName="/xl/tables/table18.xml" ContentType="application/vnd.openxmlformats-officedocument.spreadsheetml.table+xml"/>
  <Override PartName="/xl/tables/table19.xml" ContentType="application/vnd.openxmlformats-officedocument.spreadsheetml.table+xml"/>
  <Override PartName="/xl/tables/table20.xml" ContentType="application/vnd.openxmlformats-officedocument.spreadsheetml.table+xml"/>
  <Override PartName="/xl/tables/table21.xml" ContentType="application/vnd.openxmlformats-officedocument.spreadsheetml.table+xml"/>
  <Override PartName="/xl/tables/table22.xml" ContentType="application/vnd.openxmlformats-officedocument.spreadsheetml.table+xml"/>
  <Override PartName="/xl/tables/table23.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e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codeName="{DD97A8EA-9A9A-E61F-A557-7D5A7D7259CE}"/>
  <workbookPr codeName="ThisWorkbook" defaultThemeVersion="202300"/>
  <mc:AlternateContent xmlns:mc="http://schemas.openxmlformats.org/markup-compatibility/2006">
    <mc:Choice Requires="x15">
      <x15ac:absPath xmlns:x15ac="http://schemas.microsoft.com/office/spreadsheetml/2010/11/ac" url="C:\Users\k.nogi\#GitHub\ken_nogi\XVBA\MSS\■MSSツール\"/>
    </mc:Choice>
  </mc:AlternateContent>
  <xr:revisionPtr revIDLastSave="0" documentId="13_ncr:1_{3ECCA815-6F97-4EBC-8443-5B817978F677}" xr6:coauthVersionLast="47" xr6:coauthVersionMax="47" xr10:uidLastSave="{00000000-0000-0000-0000-000000000000}"/>
  <bookViews>
    <workbookView xWindow="28680" yWindow="-120" windowWidth="29040" windowHeight="15720" tabRatio="578" activeTab="3" xr2:uid="{A44FB8BF-6110-4A82-B5FF-2325799083F6}"/>
  </bookViews>
  <sheets>
    <sheet name="仕様書" sheetId="1" r:id="rId1"/>
    <sheet name="MSSデータ一覧" sheetId="6" r:id="rId2"/>
    <sheet name="MSS添付" sheetId="4" r:id="rId3"/>
    <sheet name="お客様データ添付" sheetId="5" r:id="rId4"/>
    <sheet name="お客様データリスト" sheetId="10" state="hidden" r:id="rId5"/>
    <sheet name="WF追加変更申請" sheetId="21" r:id="rId6"/>
    <sheet name="MSSデータ" sheetId="3" state="hidden" r:id="rId7"/>
    <sheet name="JSONデータ" sheetId="12" state="hidden" r:id="rId8"/>
    <sheet name="覚書" sheetId="11" r:id="rId9"/>
    <sheet name="粗利益確認書(設計契約)" sheetId="14" r:id="rId10"/>
    <sheet name="粗利益確認書(本契約)" sheetId="13" r:id="rId11"/>
    <sheet name="リードタイム算定書" sheetId="16" r:id="rId12"/>
    <sheet name="工期計算v2" sheetId="17" r:id="rId13"/>
    <sheet name="R" sheetId="18" state="hidden" r:id="rId14"/>
    <sheet name="K" sheetId="19" state="hidden" r:id="rId15"/>
    <sheet name="T" sheetId="20" state="hidden" r:id="rId16"/>
    <sheet name="MSSリスト" sheetId="9" state="hidden" r:id="rId17"/>
    <sheet name="変換" sheetId="8" state="hidden" r:id="rId18"/>
    <sheet name="マスターデータ" sheetId="7" state="hidden" r:id="rId19"/>
  </sheets>
  <functionGroups builtInGroupCount="19"/>
  <definedNames>
    <definedName name="[K]引渡日">工期計算v2!$L$32</definedName>
    <definedName name="[K]上棟日">工期計算v2!$L$28</definedName>
    <definedName name="[R]_53条">リードタイム算定書!$C$26</definedName>
    <definedName name="[R]_53条_日数">リードタイム算定書!$D$26</definedName>
    <definedName name="[R]_76条_区画整理">リードタイム算定書!$C$28</definedName>
    <definedName name="[R]_76条_日数">リードタイム算定書!$D$28</definedName>
    <definedName name="[R]お知らせ看板">リードタイム算定書!$C$32</definedName>
    <definedName name="[R]お知らせ看板_日数">リードタイム算定書!$D$32</definedName>
    <definedName name="[R]お知らせ看板_練馬">リードタイム算定書!$C$33</definedName>
    <definedName name="[R]お知らせ看板_練馬_日数">リードタイム算定書!$D$33</definedName>
    <definedName name="[R]ブランド">リードタイム算定書!$C$18</definedName>
    <definedName name="[R]愛知宅造区域">リードタイム算定書!$G$24</definedName>
    <definedName name="[R]愛知宅造区域_日数">リードタイム算定書!$J$24</definedName>
    <definedName name="[R]火と水">リードタイム算定書!$CJ$8</definedName>
    <definedName name="[R]火のみ">リードタイム算定書!$CJ$14</definedName>
    <definedName name="[R]解体完了日">リードタイム算定書!$W$5</definedName>
    <definedName name="[R]解体着手日">リードタイム算定書!$V$5</definedName>
    <definedName name="[R]階数">リードタイム算定書!$C$17</definedName>
    <definedName name="[R]確認決裁日">リードタイム算定書!$Q$5</definedName>
    <definedName name="[R]確認提出日">リードタイム算定書!$P$5</definedName>
    <definedName name="[R]狭あい">リードタイム算定書!$C$24</definedName>
    <definedName name="[R]狭あい_日数">リードタイム算定書!$D$24</definedName>
    <definedName name="[R]金と土">リードタイム算定書!$CJ$11</definedName>
    <definedName name="[R]金のみ">リードタイム算定書!$CJ$17</definedName>
    <definedName name="[R]契約図確間日数">リードタイム算定書!$AE$5</definedName>
    <definedName name="[R]契約着工間日数">リードタイム算定書!$AE$2</definedName>
    <definedName name="[R]契約日_リードタイム">リードタイム算定書!$C$14</definedName>
    <definedName name="[R]景観条例">リードタイム算定書!$C$30</definedName>
    <definedName name="[R]景観条例_日数">リードタイム算定書!$D$30</definedName>
    <definedName name="[R]月と火">リードタイム算定書!$CJ$7</definedName>
    <definedName name="[R]月のみ">リードタイム算定書!$CJ$13</definedName>
    <definedName name="[R]建上地_三鷹市">リードタイム算定書!$G$31</definedName>
    <definedName name="[R]建上地_三鷹市_日数">リードタイム算定書!$J$31</definedName>
    <definedName name="[R]建上地_杉並区">リードタイム算定書!$G$28</definedName>
    <definedName name="[R]建上地_杉並区_日数">リードタイム算定書!$J$28</definedName>
    <definedName name="[R]建上地_武蔵野市">リードタイム算定書!$G$30</definedName>
    <definedName name="[R]建上地_武蔵野市_日数">リードタイム算定書!$J$30</definedName>
    <definedName name="[R]建築許可">リードタイム算定書!$C$36</definedName>
    <definedName name="[R]建築許可日数">リードタイム算定書!$D$36</definedName>
    <definedName name="[R]工事種別">リードタイム算定書!$C$19</definedName>
    <definedName name="[R]構造計算">リードタイム算定書!$C$21</definedName>
    <definedName name="[R]構造計算_日数">リードタイム算定書!$D$21</definedName>
    <definedName name="[R]構造計算有無">リードタイム算定書!$G$8</definedName>
    <definedName name="[R]残日数">リードタイム算定書!$AB$8</definedName>
    <definedName name="[R]仕様打完了日">リードタイム算定書!$S$5</definedName>
    <definedName name="[R]四者承認図前日">リードタイム算定書!$T$5</definedName>
    <definedName name="[R]事前">リードタイム算定書!$AG$9</definedName>
    <definedName name="[R]事前決済日">リードタイム算定書!$O$5</definedName>
    <definedName name="[R]事前提出">リードタイム算定書!$N$4</definedName>
    <definedName name="[R]事前提出日">リードタイム算定書!$N$5</definedName>
    <definedName name="[R]事前日数">リードタイム算定書!$AJ$10</definedName>
    <definedName name="[R]実図確日">リードタイム算定書!$G$14</definedName>
    <definedName name="[R]主要用途">リードタイム算定書!$G$17</definedName>
    <definedName name="[R]承認図14日前">リードタイム算定書!$U$5</definedName>
    <definedName name="[R]図確引継日1">リードタイム算定書!$M$4</definedName>
    <definedName name="[R]図確引継日2">リードタイム算定書!$M$6</definedName>
    <definedName name="[R]図確日">リードタイム算定書!$AH$7</definedName>
    <definedName name="[R]図着間日数">リードタイム算定書!$AE$8</definedName>
    <definedName name="[R]水と木">リードタイム算定書!$CJ$9</definedName>
    <definedName name="[R]水のみ">リードタイム算定書!$CJ$15</definedName>
    <definedName name="[R]世帯">リードタイム算定書!$G$18</definedName>
    <definedName name="[R]地区計画">リードタイム算定書!$C$25</definedName>
    <definedName name="[R]地区計画_日数">リードタイム算定書!$D$25</definedName>
    <definedName name="[R]地耐力調査日">リードタイム算定書!$X$5</definedName>
    <definedName name="[R]地盤改良">リードタイム算定書!$G$19</definedName>
    <definedName name="[R]地盤改良着手日">リードタイム算定書!$AA$5</definedName>
    <definedName name="[R]地盤改良有無">リードタイム算定書!$D$8</definedName>
    <definedName name="[R]着工予定日_参考">リードタイム算定書!$AB$4</definedName>
    <definedName name="[R]長期・低炭素">リードタイム算定書!$C$20</definedName>
    <definedName name="[R]長期決済日">リードタイム算定書!$Y$6</definedName>
    <definedName name="[R]長期申込日">リードタイム算定書!$Y$4</definedName>
    <definedName name="[R]長期性能評価">リードタイム算定書!$Y$5</definedName>
    <definedName name="[R]天空率">リードタイム算定書!$C$35</definedName>
    <definedName name="[R]天空率_日数">リードタイム算定書!$D$35</definedName>
    <definedName name="[R]土と日">リードタイム算定書!$CJ$5</definedName>
    <definedName name="[R]土のみ">リードタイム算定書!$CJ$18</definedName>
    <definedName name="[R]日と月">リードタイム算定書!$CJ$6</definedName>
    <definedName name="[R]日のみ">リードタイム算定書!$CJ$12</definedName>
    <definedName name="[R]日進小規模">リードタイム算定書!$G$26</definedName>
    <definedName name="[R]日進小規模_日数">リードタイム算定書!$J$26</definedName>
    <definedName name="[R]風致地区">リードタイム算定書!$C$31</definedName>
    <definedName name="[R]風致地区_日数">リードタイム算定書!$D$31</definedName>
    <definedName name="[R]伏図チェック日">リードタイム算定書!$R$5</definedName>
    <definedName name="[R]保険登録日">リードタイム算定書!$Z$5</definedName>
    <definedName name="[R]本日">リードタイム算定書!$AB$6</definedName>
    <definedName name="[R]埋蔵文化">リードタイム算定書!$C$38</definedName>
    <definedName name="[R]埋蔵文化_日数">リードタイム算定書!$D$38</definedName>
    <definedName name="[R]埋蔵有着工日">リードタイム算定書!$AI$30</definedName>
    <definedName name="[R]名古屋宅造調書">リードタイム算定書!$G$25</definedName>
    <definedName name="[R]名古屋宅造調書_日数">リードタイム算定書!$J$25</definedName>
    <definedName name="[R]木と金">リードタイム算定書!$CJ$10</definedName>
    <definedName name="[R]木のみ">リードタイム算定書!$CJ$16</definedName>
    <definedName name="[R]緑化計画">リードタイム算定書!$C$34</definedName>
    <definedName name="[R]緑化計画_日数">リードタイム算定書!$D$34</definedName>
    <definedName name="_1F床面積">MSSデータ!$G$38</definedName>
    <definedName name="_2F床面積">MSSデータ!$G$39</definedName>
    <definedName name="_3F床面積">MSSデータ!$G$40</definedName>
    <definedName name="_xlnm._FilterDatabase" localSheetId="3" hidden="1">お客様データ添付!$E$2:$AL$58</definedName>
    <definedName name="【設契】15_付帯工事無">MSSデータ!$G$98</definedName>
    <definedName name="【設契】契約金額">MSSデータ!$G$101</definedName>
    <definedName name="【設契】粗利益額">MSSデータ!$G$102</definedName>
    <definedName name="【設契】粗利率">MSSデータ!$G$103</definedName>
    <definedName name="【設契】付帯無_粗利益額">MSSデータ!$G$99</definedName>
    <definedName name="【設契】付帯無_粗利率">MSSデータ!$G$100</definedName>
    <definedName name="【本契】15_付帯工事無">MSSデータ!$G$88</definedName>
    <definedName name="【本契】契約金額">MSSデータ!$G$91</definedName>
    <definedName name="【本契】粗利益額">MSSデータ!$G$92</definedName>
    <definedName name="【本契】粗利率">MSSデータ!$G$93</definedName>
    <definedName name="【本契】付帯無_粗利益額">MSSデータ!$G$89</definedName>
    <definedName name="【本契】付帯無_粗利率">MSSデータ!$G$90</definedName>
    <definedName name="■総計JSON">MSSデータ!$M$7</definedName>
    <definedName name="A.建物工事_合計">MSSデータ!$G$72</definedName>
    <definedName name="A.建物工事見積書JSON">MSSデータ!$M$3</definedName>
    <definedName name="B.追加変更工事_合計">MSSデータ!$G$73</definedName>
    <definedName name="B.追加変更工事見積書JSON">MSSデータ!$M$4</definedName>
    <definedName name="C.付帯工事_合計">MSSデータ!$G$74</definedName>
    <definedName name="C.付帯工事見積書JSON">MSSデータ!$M$5</definedName>
    <definedName name="Class001">工期計算v2!$Z$72</definedName>
    <definedName name="Class002">工期計算v2!$Z$73</definedName>
    <definedName name="Class003">工期計算v2!$Z$74</definedName>
    <definedName name="Class004">工期計算v2!$Z$75</definedName>
    <definedName name="Class005">工期計算v2!$Z$76</definedName>
    <definedName name="Class006">工期計算v2!$Z$77</definedName>
    <definedName name="Class007">工期計算v2!$Z$78</definedName>
    <definedName name="Class008">工期計算v2!$Z$79</definedName>
    <definedName name="Class009">工期計算v2!$Z$80</definedName>
    <definedName name="Class013">リードタイム算定書!$AW$17</definedName>
    <definedName name="Class014">リードタイム算定書!$AW$18</definedName>
    <definedName name="Class015">リードタイム算定書!$AW$19</definedName>
    <definedName name="Class016">リードタイム算定書!$AW$20</definedName>
    <definedName name="Class017">リードタイム算定書!$AW$21</definedName>
    <definedName name="Class018">リードタイム算定書!$AW$22</definedName>
    <definedName name="Class019">リードタイム算定書!$AW$23</definedName>
    <definedName name="Class031">リードタイム算定書!$AW$24</definedName>
    <definedName name="Class032">リードタイム算定書!$AW$25</definedName>
    <definedName name="Class033">リードタイム算定書!$AW$26</definedName>
    <definedName name="Class034">リードタイム算定書!$AW$27</definedName>
    <definedName name="Class035">リードタイム算定書!$AW$28</definedName>
    <definedName name="Class036">リードタイム算定書!$AW$29</definedName>
    <definedName name="Class037">リードタイム算定書!$AW$30</definedName>
    <definedName name="Class038">リードタイム算定書!$AW$31</definedName>
    <definedName name="Class039">リードタイム算定書!$AW$32</definedName>
    <definedName name="Class040">リードタイム算定書!$AW$33</definedName>
    <definedName name="Class041">リードタイム算定書!$AW$34</definedName>
    <definedName name="Class042">リードタイム算定書!$AW$35</definedName>
    <definedName name="Class043">リードタイム算定書!$AW$36</definedName>
    <definedName name="Class044">リードタイム算定書!$AW$37</definedName>
    <definedName name="Class045">リードタイム算定書!$AW$38</definedName>
    <definedName name="Class046">リードタイム算定書!$AW$39</definedName>
    <definedName name="Class047">リードタイム算定書!$AW$40</definedName>
    <definedName name="ClassJ">工期計算v2!$Z$71</definedName>
    <definedName name="D.値引きなどJSON">MSSデータ!$M$6</definedName>
    <definedName name="DateA">工期計算v2!$Z$83</definedName>
    <definedName name="DateB">工期計算v2!$Z$84</definedName>
    <definedName name="DateC">工期計算v2!$Z$85</definedName>
    <definedName name="H">MSSデータ!$D$110</definedName>
    <definedName name="L">MSSデータ!$D$111</definedName>
    <definedName name="Num007_">工期計算v2!$Z$96</definedName>
    <definedName name="Num008_">工期計算v2!$Z$97</definedName>
    <definedName name="Num009_">工期計算v2!$Z$98</definedName>
    <definedName name="Num021_">工期計算v2!$Z$99</definedName>
    <definedName name="Num022_">工期計算v2!$Z$100</definedName>
    <definedName name="Num023_">工期計算v2!$Z$101</definedName>
    <definedName name="Num024_">工期計算v2!$Z$102</definedName>
    <definedName name="Num031_">工期計算v2!$Z$103</definedName>
    <definedName name="Num032_">工期計算v2!$Z$104</definedName>
    <definedName name="Num033_">工期計算v2!$Z$105</definedName>
    <definedName name="Num034_">工期計算v2!$Z$106</definedName>
    <definedName name="Num035_">工期計算v2!$Z$107</definedName>
    <definedName name="Num036_">工期計算v2!$Z$108</definedName>
    <definedName name="Num037_">工期計算v2!$Z$109</definedName>
    <definedName name="Num038_">工期計算v2!$Z$110</definedName>
    <definedName name="Num039_">工期計算v2!$Z$111</definedName>
    <definedName name="Num040_">工期計算v2!$Z$112</definedName>
    <definedName name="Num041_">工期計算v2!$Z$113</definedName>
    <definedName name="Num042_">工期計算v2!$Z$114</definedName>
    <definedName name="Num043_">工期計算v2!$Z$115</definedName>
    <definedName name="NumA">工期計算v2!$Z$87</definedName>
    <definedName name="NumB">工期計算v2!$Z$88</definedName>
    <definedName name="NumC">工期計算v2!$Z$89</definedName>
    <definedName name="NumD">工期計算v2!$Z$90</definedName>
    <definedName name="NumE">工期計算v2!$Z$91</definedName>
    <definedName name="NumF">工期計算v2!$Z$92</definedName>
    <definedName name="NumG">工期計算v2!$Z$93</definedName>
    <definedName name="NumH">工期計算v2!$Z$94</definedName>
    <definedName name="NumI">工期計算v2!$Z$95</definedName>
    <definedName name="PH階床面積">MSSデータ!$G$46</definedName>
    <definedName name="_xlnm.Print_Area" localSheetId="11">リードタイム算定書!$A$1:$AE$45</definedName>
    <definedName name="_xlnm.Print_Area" localSheetId="8">覚書!$B$2:$AK$55</definedName>
    <definedName name="_xlnm.Print_Area" localSheetId="12">工期計算v2!$B$2:$M$60</definedName>
    <definedName name="_xlnm.Print_Area" localSheetId="9">'粗利益確認書(設計契約)'!$B$1:$O$85</definedName>
    <definedName name="_xlnm.Print_Area" localSheetId="10">'粗利益確認書(本契約)'!$B$1:$O$85</definedName>
    <definedName name="ResultId">MSSデータ!$AA$4</definedName>
    <definedName name="RW_LVL">MSSデータ!$D$63</definedName>
    <definedName name="WF_確認申請GR">MSSデータ!$D$208</definedName>
    <definedName name="WF_最終確認者">MSSデータ!$D$211</definedName>
    <definedName name="WF_専務">MSSデータ!$D$209</definedName>
    <definedName name="WF_総務GR">MSSデータ!$D$210</definedName>
    <definedName name="WF_着工要因GR">MSSデータ!$D$207</definedName>
    <definedName name="WF追変申請ID">WF追加変更申請!$B$5</definedName>
    <definedName name="Z_044B8A7A_D110_4784_B002_15D105250B3D_.wvu.PrintArea" localSheetId="11" hidden="1">リードタイム算定書!$B$1:$AE$12</definedName>
    <definedName name="Z_09865F17_5D4C_4F73_B7E9_46FE128A559E_.wvu.PrintArea" localSheetId="11" hidden="1">リードタイム算定書!$B$1:$AE$12</definedName>
    <definedName name="Z_0A2898FC_CD6A_4F2A_A624_33DECCA3354B_.wvu.PrintArea" localSheetId="11" hidden="1">リードタイム算定書!$B$1:$AE$12</definedName>
    <definedName name="Z_0AEFDAE0_8998_4685_8AEC_E2A09F3E9C3C_.wvu.PrintArea" localSheetId="11" hidden="1">リードタイム算定書!$B$1:$AE$12</definedName>
    <definedName name="Z_0E362096_3E14_4768_99D1_AA356AF6D7A6_.wvu.PrintArea" localSheetId="11" hidden="1">リードタイム算定書!#REF!</definedName>
    <definedName name="Z_100E8C04_7F83_4A53_AD1C_132A2B91A4BB_.wvu.PrintArea" localSheetId="11" hidden="1">リードタイム算定書!$A$1:$AE$12</definedName>
    <definedName name="Z_1DBCA8E3_AF84_45E0_98AE_48B328F928C6_.wvu.PrintArea" localSheetId="11" hidden="1">リードタイム算定書!$B$1:$AE$12</definedName>
    <definedName name="Z_221303F5_3E25_4C67_9CA7_25005B277D99_.wvu.PrintArea" localSheetId="11" hidden="1">リードタイム算定書!$B$1:$AE$12</definedName>
    <definedName name="Z_24EB0E65_B1F0_44A6_BFBB_9C21FD08CC0E_.wvu.PrintArea" localSheetId="11" hidden="1">リードタイム算定書!$B$1:$AE$12</definedName>
    <definedName name="Z_307E9561_3FFC_4204_85F6_DEF696A1ED5A_.wvu.PrintArea" localSheetId="11" hidden="1">リードタイム算定書!$B$1:$AE$12</definedName>
    <definedName name="Z_3925720F_6E8D_4B96_BCB9_BD7FE5587F6B_.wvu.PrintArea" localSheetId="11" hidden="1">リードタイム算定書!$B$1:$AE$12</definedName>
    <definedName name="Z_43C06567_C2E4_4C32_95FB_A03FE0F26247_.wvu.PrintArea" localSheetId="11" hidden="1">リードタイム算定書!$B$1:$AE$12</definedName>
    <definedName name="Z_5372D68F_048D_4D09_BC72_21588B95CCAC_.wvu.PrintArea" localSheetId="11" hidden="1">リードタイム算定書!$B$1:$AE$12</definedName>
    <definedName name="Z_540B9B05_C989_ED41_BE27_9B64BBF6817D_.wvu.PrintArea" localSheetId="11" hidden="1">リードタイム算定書!$B$1:$AE$12</definedName>
    <definedName name="Z_5A387252_1615_4DC1_B329_25377798ADF6_.wvu.PrintArea" localSheetId="11" hidden="1">リードタイム算定書!$B$1:$AE$12</definedName>
    <definedName name="Z_655F46CF_DD98_4F32_AC61_3B8595B4C069_.wvu.PrintArea" localSheetId="11" hidden="1">リードタイム算定書!$B$1:$AE$12</definedName>
    <definedName name="Z_677877CD_5D26_4F75_9CC2_2B4300FB6219_.wvu.PrintArea" localSheetId="11" hidden="1">リードタイム算定書!$A$1:$AE$12</definedName>
    <definedName name="Z_6B6C6763_EF7F_4761_AD0D_5DB6226E9B35_.wvu.PrintArea" localSheetId="11" hidden="1">リードタイム算定書!$A$1:$AE$12</definedName>
    <definedName name="Z_73BC3B1D_8BF3_40BB_8AD6_B32A95507020_.wvu.PrintArea" localSheetId="11" hidden="1">リードタイム算定書!$B$1:$AE$12</definedName>
    <definedName name="Z_753A767B_D13E_4F66_A945_DF97513E3F33_.wvu.PrintArea" localSheetId="11" hidden="1">リードタイム算定書!$B$1:$AE$12</definedName>
    <definedName name="Z_77467445_9923_4ECA_B327_72D47DD0BA7B_.wvu.PrintArea" localSheetId="11" hidden="1">リードタイム算定書!$B$1:$AE$12</definedName>
    <definedName name="Z_777922EA_640C_4C3B_BBB3_4B3DD4B9F8A5_.wvu.PrintArea" localSheetId="11" hidden="1">リードタイム算定書!$A$1:$AE$12</definedName>
    <definedName name="Z_7918C02B_3D3B_4074_B37D_E8977B8631F3_.wvu.PrintArea" localSheetId="11" hidden="1">リードタイム算定書!$A$1:$AE$12</definedName>
    <definedName name="Z_79DD31FA_B4A2_4132_A7C2_96A375BC82AC_.wvu.PrintArea" localSheetId="11" hidden="1">リードタイム算定書!$B$1:$AE$12</definedName>
    <definedName name="Z_8738A260_9DEC_4263_AD36_F7995354F98E_.wvu.PrintArea" localSheetId="11" hidden="1">リードタイム算定書!$B$1:$AE$12</definedName>
    <definedName name="Z_88E74987_72A7_4318_B39E_E710DA1F1D74_.wvu.PrintArea" localSheetId="11" hidden="1">リードタイム算定書!$B$1:$AE$12</definedName>
    <definedName name="Z_961B6EA9_8EA6_458D_8C96_8D329F27F75B_.wvu.PrintArea" localSheetId="11" hidden="1">リードタイム算定書!$B$1:$AE$12</definedName>
    <definedName name="Z_A5F5A803_406C_4EC4_BCEB_CB67B356F43B_.wvu.PrintArea" localSheetId="11" hidden="1">リードタイム算定書!$B$1:$AE$12</definedName>
    <definedName name="Z_A7993B78_B5AD_4543_924B_401342E22742_.wvu.PrintArea" localSheetId="11" hidden="1">リードタイム算定書!$B$1:$AE$12</definedName>
    <definedName name="Z_AA7FB95D_DECB_4FC9_B523_03168603475D_.wvu.PrintArea" localSheetId="11" hidden="1">リードタイム算定書!$B$1:$AE$12</definedName>
    <definedName name="Z_AC689A71_AD35_40A3_9F0F_820F78F9032B_.wvu.PrintArea" localSheetId="11" hidden="1">リードタイム算定書!$B$1:$AE$12</definedName>
    <definedName name="Z_AD26ECBB_8922_4E2D_97E7_5F5B67FED9AA_.wvu.PrintArea" localSheetId="11" hidden="1">リードタイム算定書!$B$1:$AE$12</definedName>
    <definedName name="Z_AD68D112_A4A0_4DE8_A752_7CF58F8C2F1A_.wvu.PrintArea" localSheetId="11" hidden="1">リードタイム算定書!$B$1:$AE$12</definedName>
    <definedName name="Z_B41966E9_F1BA_4218_8AAD_FBDF6BF89061_.wvu.PrintArea" localSheetId="11" hidden="1">リードタイム算定書!$B$1:$AE$12</definedName>
    <definedName name="Z_BE9EFAE0_40A7_4A7B_BE7D_8D00E50817C3_.wvu.PrintArea" localSheetId="11" hidden="1">リードタイム算定書!$B$1:$AE$12</definedName>
    <definedName name="Z_BEA922DC_46CB_4223_BAA8_033388885C40_.wvu.PrintArea" localSheetId="11" hidden="1">リードタイム算定書!$B$1:$AE$12</definedName>
    <definedName name="Z_C82F4124_8852_4F2C_9619_433E0FCE91D5_.wvu.PrintArea" localSheetId="11" hidden="1">リードタイム算定書!$B$1:$AE$12</definedName>
    <definedName name="Z_CCF9C9CC_67A7_48C0_B875_B8849D8C22C4_.wvu.PrintArea" localSheetId="11" hidden="1">リードタイム算定書!$A$1:$AE$12</definedName>
    <definedName name="Z_CE0A55E7_8C2C_4F7C_B83E_4246A50BEDC0_.wvu.PrintArea" localSheetId="11" hidden="1">リードタイム算定書!$B$1:$AE$12</definedName>
    <definedName name="Z_D9FFA4DC_A9CC_4690_B0EA_B5FC86333429_.wvu.PrintArea" localSheetId="11" hidden="1">リードタイム算定書!$B$1:$AE$12</definedName>
    <definedName name="Z_E64A7A66_AA22_419D_B2F2_71C0586DD8B1_.wvu.PrintArea" localSheetId="11" hidden="1">リードタイム算定書!$B$1:$AE$12</definedName>
    <definedName name="Z_E82B2F6E_D468_4C7C_99E3_7B3793477C82_.wvu.PrintArea" localSheetId="11" hidden="1">リードタイム算定書!$B$1:$AE$12</definedName>
    <definedName name="Z_F2927CFA_8369_4C0B_9494_8FE5840B4F37_.wvu.PrintArea" localSheetId="11" hidden="1">リードタイム算定書!$B$1:$AE$12</definedName>
    <definedName name="エリア">MSSデータ!$D$24</definedName>
    <definedName name="エリア担当者">MSSデータ!$D$150</definedName>
    <definedName name="お客様データID">MSSデータ!$D$221</definedName>
    <definedName name="ガス工事_日付">MSSデータ!$J$122</definedName>
    <definedName name="ガス工事_有無">MSSデータ!$D$122</definedName>
    <definedName name="サービス_値引き等の内容・理由">MSSデータ!$M$89</definedName>
    <definedName name="シート分類">MSSデータ!$D$17</definedName>
    <definedName name="シート分類ID">変換!$C$19</definedName>
    <definedName name="シート分類指定">MSSデータ一覧!$B$9</definedName>
    <definedName name="シリーズ">MSSデータ!$D$62</definedName>
    <definedName name="シリーズjson">MSSデータ!$M$32</definedName>
    <definedName name="ステータス">MSSデータ一覧!$B$2</definedName>
    <definedName name="ステータスID">変換!$C$7</definedName>
    <definedName name="スマイノミライ60年保証申請">MSSデータ!$M$8</definedName>
    <definedName name="セットバック_有無">MSSデータ!$D$134</definedName>
    <definedName name="その他">MSSデータ!$M$90</definedName>
    <definedName name="その他外構業者">MSSデータ!$D$130</definedName>
    <definedName name="その他申請_決裁予定">MSSデータ!$J$99</definedName>
    <definedName name="その他申請_提出予定">MSSデータ!$J$98</definedName>
    <definedName name="その他申請_備考">MSSデータ!$D$106</definedName>
    <definedName name="その他注意">MSSデータ!$D$102</definedName>
    <definedName name="その他備考">MSSデータ!$M$13</definedName>
    <definedName name="フラット35S_財形">MSSデータ!$D$115</definedName>
    <definedName name="プロパン工事_日付">MSSデータ!$J$123</definedName>
    <definedName name="プロパン工事_有無">MSSデータ!$D$123</definedName>
    <definedName name="マニュアル外差異理由">MSSデータ!$M$88</definedName>
    <definedName name="モジュール">MSSデータ!$D$66</definedName>
    <definedName name="リードタイムデータ">MSSデータ!$M$19</definedName>
    <definedName name="リードタイム算定ID">MSSデータ!$D$218</definedName>
    <definedName name="レコードID">MSSデータ一覧!$A$23</definedName>
    <definedName name="レコードタイトル">MSSデータ一覧!$B$22</definedName>
    <definedName name="レコード名">MSSデータ!$D$227</definedName>
    <definedName name="案内図_小運搬">MSSデータ!$D$79</definedName>
    <definedName name="案内図_注意事項">MSSデータ!$M$77</definedName>
    <definedName name="案内図_駐車場">MSSデータ!$D$77</definedName>
    <definedName name="案内図_搬入路">MSSデータ!$D$78</definedName>
    <definedName name="引渡予定参考日">MSSデータ!$J$12</definedName>
    <definedName name="引渡予定日">MSSデータ!$J$13</definedName>
    <definedName name="営業ID">変換!$C$13</definedName>
    <definedName name="営業からの引継事項">MSSデータ!$M$137</definedName>
    <definedName name="営業指定">MSSデータ一覧!$B$6</definedName>
    <definedName name="営業所ID">変換!$C$3</definedName>
    <definedName name="営業所指定">MSSデータ一覧!$B$3</definedName>
    <definedName name="営業設計">MSSデータ!$D$10</definedName>
    <definedName name="閲覧許可">MSSデータ!$D$204</definedName>
    <definedName name="延床面積">MSSデータ!$G$42</definedName>
    <definedName name="延床面積_坪">MSSデータ!$G$43</definedName>
    <definedName name="家族構成">MSSデータ!$D$93</definedName>
    <definedName name="外構の要望や好み">MSSデータ!$M$131</definedName>
    <definedName name="外構業者">MSSデータ!$D$131</definedName>
    <definedName name="外構工事_完了日">MSSデータ!$J$130</definedName>
    <definedName name="外構工事_契約">MSSデータ!$D$129</definedName>
    <definedName name="外構工事_着手日">MSSデータ!$J$129</definedName>
    <definedName name="外構予算_概算・確定">MSSデータ!$D$132</definedName>
    <definedName name="外構予算_金額">MSSデータ!$G$132</definedName>
    <definedName name="外部仕様">MSSデータ!$D$64</definedName>
    <definedName name="確認決済参考日">MSSデータ!$J$44</definedName>
    <definedName name="確認申請_決裁予定">MSSデータ!$J$97</definedName>
    <definedName name="確認申請_提出予定">MSSデータ!$J$96</definedName>
    <definedName name="確認申請_備考">MSSデータ!$D$105</definedName>
    <definedName name="確認提出参考日">MSSデータ!$J$43</definedName>
    <definedName name="管理設計">MSSデータ!$D$13</definedName>
    <definedName name="管理設計処理内容">MSSデータ!$D$168</definedName>
    <definedName name="管理設計処理日">MSSデータ!$J$158</definedName>
    <definedName name="管理設計承認者">MSSデータ!$D$158</definedName>
    <definedName name="給水引込工事_日付">MSSデータ!$J$117</definedName>
    <definedName name="給水引込工事_有無">MSSデータ!$D$117</definedName>
    <definedName name="境界杭">MSSデータ!$D$98</definedName>
    <definedName name="契約カウント月">MSSデータ!$D$16</definedName>
    <definedName name="契約コード">MSSデータ!$D$2</definedName>
    <definedName name="契約コード指定">MSSデータ一覧!$B$16</definedName>
    <definedName name="契約ブランド">MSSデータ!$D$60</definedName>
    <definedName name="契約ブランドjson">MSSデータ!$M$31</definedName>
    <definedName name="契約営業所">MSSデータ!$D$7</definedName>
    <definedName name="契約営業所json">MSSデータ!$M$30</definedName>
    <definedName name="契約会社">MSSデータ!$D$5</definedName>
    <definedName name="契約会社json">MSSデータ!$M$28</definedName>
    <definedName name="契約日">MSSデータ!$J$5</definedName>
    <definedName name="建上地_カナ">MSSデータ!$D$57</definedName>
    <definedName name="建上地_住居表示">MSSデータ!$D$56</definedName>
    <definedName name="建上地_地名地番">MSSデータ!$D$58</definedName>
    <definedName name="建上地_郵便番号">MSSデータ!$D$55</definedName>
    <definedName name="建設解体工事_完了日">MSSデータ!$J$126</definedName>
    <definedName name="建設解体工事_業者">MSSデータ!$D$126</definedName>
    <definedName name="建設解体工事_契約">MSSデータ!$D$125</definedName>
    <definedName name="建設解体工事_着手日">MSSデータ!$J$125</definedName>
    <definedName name="建築面積_坪">MSSデータ!$G$45</definedName>
    <definedName name="建築面積_平米">MSSデータ!$G$44</definedName>
    <definedName name="建物種類">MSSデータ!$D$70</definedName>
    <definedName name="建物保証">MSSデータ!$D$89</definedName>
    <definedName name="検査機関">MSSデータ!$D$113</definedName>
    <definedName name="見積備考">MSSデータ!$M$15</definedName>
    <definedName name="現住所1">MSSデータ!$D$34</definedName>
    <definedName name="現住所2">MSSデータ!$D$42</definedName>
    <definedName name="現住所3">MSSデータ!$D$50</definedName>
    <definedName name="現住所カナ">MSSデータ!$D$35</definedName>
    <definedName name="現住所カナ1">MSSデータ!$D$35</definedName>
    <definedName name="現住所カナ2">MSSデータ!$D$43</definedName>
    <definedName name="現住所カナ3">MSSデータ!$D$51</definedName>
    <definedName name="顧客コード">MSSデータ!$D$3</definedName>
    <definedName name="工期計算ID">MSSデータ!$D$220</definedName>
    <definedName name="工事名">MSSデータ!$D$18</definedName>
    <definedName name="工事名_カナ">MSSデータ!$D$19</definedName>
    <definedName name="工事名個別">MSSデータ!$D$22</definedName>
    <definedName name="工事名個別_カナ">MSSデータ!$D$23</definedName>
    <definedName name="更新者">MSSデータ!$AA$13</definedName>
    <definedName name="構造">MSSデータ!$D$61</definedName>
    <definedName name="差し戻し履歴">MSSデータ!$M$174</definedName>
    <definedName name="差戻し者">MSSデータ!$D$164</definedName>
    <definedName name="差戻し内容">MSSデータ!$D$174</definedName>
    <definedName name="差戻し日">MSSデータ!$J$164</definedName>
    <definedName name="作成者">MSSデータ!$AA$12</definedName>
    <definedName name="作成日">MSSデータ!$J$2</definedName>
    <definedName name="仕様打合せ日">MSSデータ!$J$89</definedName>
    <definedName name="仕様打参考日">MSSデータ!$J$38</definedName>
    <definedName name="支払いと請負の差異">MSSデータ!$G$80</definedName>
    <definedName name="支払情報JSON">MSSデータ!$M$2</definedName>
    <definedName name="支払代金_税込">MSSデータ!$G$67</definedName>
    <definedName name="支払代金_税別">MSSデータ!$G$69</definedName>
    <definedName name="支払備考">MSSデータ!$M$14</definedName>
    <definedName name="施工会社">MSSデータ!$D$6</definedName>
    <definedName name="施工会社json">MSSデータ!$M$29</definedName>
    <definedName name="施主_勤続年数">MSSデータ!$G$32</definedName>
    <definedName name="施主_勤務先">MSSデータ!$D$52</definedName>
    <definedName name="施主_携帯電話">MSSデータ!$D$54</definedName>
    <definedName name="施主_電話番号">MSSデータ!$D$53</definedName>
    <definedName name="施主との約束">MSSデータ!$D$94</definedName>
    <definedName name="資金承認">MSSデータ!$J$92</definedName>
    <definedName name="事前決済参考日">MSSデータ!$J$42</definedName>
    <definedName name="事前申請_決裁予定">MSSデータ!$J$95</definedName>
    <definedName name="事前申請_提出予定">MSSデータ!$J$94</definedName>
    <definedName name="事前申請_備考">MSSデータ!$D$104</definedName>
    <definedName name="事前提出参考日">MSSデータ!$J$41</definedName>
    <definedName name="主担当営業">MSSデータ!$D$8</definedName>
    <definedName name="手配者">MSSデータ!$D$121</definedName>
    <definedName name="集客事由">MSSデータ!$D$88</definedName>
    <definedName name="住宅性能評価">MSSデータ!$D$114</definedName>
    <definedName name="所属長">MSSデータ!$D$26</definedName>
    <definedName name="所属長処理内容">MSSデータ!$D$169</definedName>
    <definedName name="所属長処理日">MSSデータ!$J$159</definedName>
    <definedName name="所属長承認者">MSSデータ!$D$159</definedName>
    <definedName name="所長付">MSSデータ!$D$14</definedName>
    <definedName name="小運搬の必要性_有無">MSSデータ!$D$137</definedName>
    <definedName name="承認図">MSSデータ!$J$90</definedName>
    <definedName name="承認図参考日">MSSデータ!$J$39</definedName>
    <definedName name="消費税選択" localSheetId="11" hidden="1">#REF!</definedName>
    <definedName name="消費税選択" localSheetId="12" hidden="1">#REF!</definedName>
    <definedName name="消費税選択" hidden="1">#REF!</definedName>
    <definedName name="消費税率">MSSデータ!$G$66</definedName>
    <definedName name="紹介の種類">MSSデータ!$D$141</definedName>
    <definedName name="紹介者">MSSデータ!$D$142</definedName>
    <definedName name="紹介料">MSSデータ!$G$141</definedName>
    <definedName name="上棟予定参考日">MSSデータ!$J$10</definedName>
    <definedName name="上棟予定日">MSSデータ!$J$11</definedName>
    <definedName name="浄化槽工事_人槽">MSSデータ!$D$119</definedName>
    <definedName name="信用状況">MSSデータ!$D$92</definedName>
    <definedName name="振込先">MSSデータ!$D$25</definedName>
    <definedName name="新規申請者">MSSデータ!$D$157</definedName>
    <definedName name="新規申請処理内容">MSSデータ!$D$167</definedName>
    <definedName name="新規申請日">MSSデータ!$J$157</definedName>
    <definedName name="深基礎">MSSデータ!$D$109</definedName>
    <definedName name="申請状況">MSSデータ!$D$215</definedName>
    <definedName name="図確参考日">MSSデータ!$J$37</definedName>
    <definedName name="図面確定日">MSSデータ!$J$88</definedName>
    <definedName name="世帯種別">MSSデータ!$D$68</definedName>
    <definedName name="姓1">MSSデータ!$D$28</definedName>
    <definedName name="姓2">MSSデータ!$D$36</definedName>
    <definedName name="姓3">MSSデータ!$D$44</definedName>
    <definedName name="姓カナ1">MSSデータ!$D$30</definedName>
    <definedName name="姓カナ2">MSSデータ!$D$38</definedName>
    <definedName name="姓カナ3">MSSデータ!$D$46</definedName>
    <definedName name="性別1">MSSデータ!$D$32</definedName>
    <definedName name="性別2">MSSデータ!$D$40</definedName>
    <definedName name="性別3">MSSデータ!$D$48</definedName>
    <definedName name="生年月日1">MSSデータ!$J$28</definedName>
    <definedName name="生年月日2">MSSデータ!$J$29</definedName>
    <definedName name="生年月日3">MSSデータ!$J$30</definedName>
    <definedName name="請負金額_税込">MSSデータ!$G$77</definedName>
    <definedName name="積算チェック者">MSSデータ!$D$27</definedName>
    <definedName name="設契_管理設計処理内容">MSSデータ!$D$188</definedName>
    <definedName name="設契_管理設計処理日">MSSデータ!$J$178</definedName>
    <definedName name="設契_管理設計承認者">MSSデータ!$D$178</definedName>
    <definedName name="設契_差戻し者">MSSデータ!$D$184</definedName>
    <definedName name="設契_差戻し内容">MSSデータ!$D$194</definedName>
    <definedName name="設契_差戻し日">MSSデータ!$J$184</definedName>
    <definedName name="設契_所属長処理内容">MSSデータ!$D$189</definedName>
    <definedName name="設契_所属長処理日">MSSデータ!$J$179</definedName>
    <definedName name="設契_所属長承認者">MSSデータ!$D$179</definedName>
    <definedName name="設契_新規申請者">MSSデータ!$D$177</definedName>
    <definedName name="設契_新規申請処理内容">MSSデータ!$D$187</definedName>
    <definedName name="設契_新規申請日">MSSデータ!$J$177</definedName>
    <definedName name="設契_専務処理内容">MSSデータ!$D$191</definedName>
    <definedName name="設契_専務処理日">MSSデータ!$J$181</definedName>
    <definedName name="設契_専務承認者">MSSデータ!$D$181</definedName>
    <definedName name="設契_総務処理内容">MSSデータ!$D$192</definedName>
    <definedName name="設契_総務処理日">MSSデータ!$J$182</definedName>
    <definedName name="設契_総務承認者">MSSデータ!$D$182</definedName>
    <definedName name="設契_着工要因処理内容">MSSデータ!$D$190</definedName>
    <definedName name="設契_着工要因処理日">MSSデータ!$J$180</definedName>
    <definedName name="設契_着工要因承認者">MSSデータ!$D$180</definedName>
    <definedName name="設契_役員処理内容">MSSデータ!$D$193</definedName>
    <definedName name="設契_役員処理日">MSSデータ!$J$183</definedName>
    <definedName name="設契_役員承認者">MSSデータ!$D$183</definedName>
    <definedName name="設計ID">変換!$C$16</definedName>
    <definedName name="設計契約">MSSデータ!$D$15</definedName>
    <definedName name="設計契約→本契約">MSSデータ!$D$185</definedName>
    <definedName name="設計契約金">MSSデータ!$G$65</definedName>
    <definedName name="設計契約金支払日">MSSデータ!$J$65</definedName>
    <definedName name="設計契約日">MSSデータ!$J$6</definedName>
    <definedName name="設計指定">MSSデータ一覧!$B$7</definedName>
    <definedName name="専務処理内容">MSSデータ!$D$171</definedName>
    <definedName name="専務処理日">MSSデータ!$J$161</definedName>
    <definedName name="専務承認者">MSSデータ!$D$161</definedName>
    <definedName name="粗利益計算書ID">MSSデータ!$D$217</definedName>
    <definedName name="組織名">変換!$C$4</definedName>
    <definedName name="総務処理内容">MSSデータ!$D$172</definedName>
    <definedName name="総務処理日">MSSデータ!$J$162</definedName>
    <definedName name="総務承認者">MSSデータ!$D$162</definedName>
    <definedName name="太陽光システム_種類">MSSデータ!$D$73</definedName>
    <definedName name="太陽光システム_有無">MSSデータ!$D$72</definedName>
    <definedName name="太陽光請負金額">MSSデータ!$G$78</definedName>
    <definedName name="担当IC">MSSデータ!$D$12</definedName>
    <definedName name="担当監督">MSSデータ!$D$11</definedName>
    <definedName name="担当役員">MSSデータ!$D$149</definedName>
    <definedName name="地下面積">MSSデータ!$G$41</definedName>
    <definedName name="地鎮祭">MSSデータ!$J$93</definedName>
    <definedName name="地盤調査">MSSデータ!$J$91</definedName>
    <definedName name="地盤調査参考日">MSSデータ!$J$40</definedName>
    <definedName name="地目">MSSデータ!$D$97</definedName>
    <definedName name="着工予定参考日">MSSデータ!$J$8</definedName>
    <definedName name="着工予定日">MSSデータ!$J$9</definedName>
    <definedName name="着工要因処理内容">MSSデータ!$D$170</definedName>
    <definedName name="着工要因処理日">MSSデータ!$J$160</definedName>
    <definedName name="着工要因承認者">MSSデータ!$D$160</definedName>
    <definedName name="仲介業者">MSSデータ!$D$99</definedName>
    <definedName name="直近">MSSデータ一覧!$B$10</definedName>
    <definedName name="追加変更ID">MSSデータ!$D$219</definedName>
    <definedName name="追加変更期限">MSSデータ!$J$14</definedName>
    <definedName name="土地残金日">MSSデータ!$D$100</definedName>
    <definedName name="土地所有者">MSSデータ!$D$95</definedName>
    <definedName name="土地所有者_続柄">MSSデータ!$D$96</definedName>
    <definedName name="道路斜面緩和_有無">MSSデータ!$D$136</definedName>
    <definedName name="内税">MSSデータ!$G$68</definedName>
    <definedName name="内部仕様">MSSデータ!$D$65</definedName>
    <definedName name="年齢1">MSSデータ!$G$28</definedName>
    <definedName name="年齢2">MSSデータ!$G$29</definedName>
    <definedName name="年齢3">MSSデータ!$G$30</definedName>
    <definedName name="農地転用">MSSデータ!$D$101</definedName>
    <definedName name="派生コードチェック">MSSデータ!$P$3</definedName>
    <definedName name="派生契約コード">MSSデータ!$D$76</definedName>
    <definedName name="排水引込工事_日付">MSSデータ!$J$118</definedName>
    <definedName name="排水引込工事_有無">MSSデータ!$D$118</definedName>
    <definedName name="発注者">MSSデータ!$D$20</definedName>
    <definedName name="発注者_カナ">MSSデータ!$D$21</definedName>
    <definedName name="敷地造成工事_完了日">MSSデータ!$J$128</definedName>
    <definedName name="敷地造成工事_業者">MSSデータ!$D$128</definedName>
    <definedName name="敷地造成工事_契約">MSSデータ!$D$127</definedName>
    <definedName name="敷地造成工事_着手日">MSSデータ!$J$127</definedName>
    <definedName name="副担当営業">MSSデータ!$D$9</definedName>
    <definedName name="物件種別">MSSデータ!$D$69</definedName>
    <definedName name="壁面後退や控え壁についての条件">MSSデータ!$M$132</definedName>
    <definedName name="保証年数">MSSデータ!$D$90</definedName>
    <definedName name="補助金_有無">MSSデータ!$D$120</definedName>
    <definedName name="法人チェック">MSSデータ!$P$2</definedName>
    <definedName name="法人代表者名">MSSデータ!$D$83</definedName>
    <definedName name="法人代表者名カナ">MSSデータ!$D$84</definedName>
    <definedName name="法人名">MSSデータ!$D$81</definedName>
    <definedName name="法人名カナ">MSSデータ!$D$82</definedName>
    <definedName name="防火">MSSデータ!$D$67</definedName>
    <definedName name="本契約移行日">MSSデータ!$J$185</definedName>
    <definedName name="名1">MSSデータ!$D$29</definedName>
    <definedName name="名2">MSSデータ!$D$37</definedName>
    <definedName name="名3">MSSデータ!$D$45</definedName>
    <definedName name="名カナ1">MSSデータ!$D$31</definedName>
    <definedName name="名カナ2">MSSデータ!$D$39</definedName>
    <definedName name="名カナ3">MSSデータ!$D$47</definedName>
    <definedName name="役員ID">変換!$C$10</definedName>
    <definedName name="役員指定">MSSデータ一覧!$B$8</definedName>
    <definedName name="役員処理内容">MSSデータ!$D$173</definedName>
    <definedName name="役員処理日">MSSデータ!$J$163</definedName>
    <definedName name="役員承認者">MSSデータ!$D$163</definedName>
    <definedName name="役所調査依頼">MSSデータ!$D$147</definedName>
    <definedName name="郵便番号1">MSSデータ!$D$33</definedName>
    <definedName name="郵便番号2">MSSデータ!$D$41</definedName>
    <definedName name="郵便番号3">MSSデータ!$D$49</definedName>
    <definedName name="緑化計画_有無">MSSデータ!$D$135</definedName>
    <definedName name="瑕疵保険限度額">MSSデータ!$D$91</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Z9" i="5" l="1"/>
  <c r="AC9" i="5"/>
  <c r="A113" i="10"/>
  <c r="F113" i="10"/>
  <c r="D113" i="10"/>
  <c r="HV1" i="10"/>
  <c r="HU1" i="10"/>
  <c r="J43" i="13"/>
  <c r="K43" i="13"/>
  <c r="J44" i="13"/>
  <c r="K44" i="13"/>
  <c r="J45" i="13"/>
  <c r="K45" i="13"/>
  <c r="J30" i="13"/>
  <c r="K30" i="13"/>
  <c r="J31" i="13"/>
  <c r="K31" i="13"/>
  <c r="J32" i="13"/>
  <c r="K32" i="13"/>
  <c r="J33" i="13"/>
  <c r="K33" i="13"/>
  <c r="J34" i="13"/>
  <c r="K34" i="13"/>
  <c r="H73" i="14"/>
  <c r="F73" i="14"/>
  <c r="J43" i="14"/>
  <c r="K43" i="14"/>
  <c r="J44" i="14"/>
  <c r="K44" i="14"/>
  <c r="J45" i="14"/>
  <c r="K45" i="14"/>
  <c r="J32" i="14"/>
  <c r="K32" i="14"/>
  <c r="J33" i="14"/>
  <c r="K33" i="14"/>
  <c r="E113" i="10"/>
  <c r="V13" i="5" l="1"/>
  <c r="D68" i="10"/>
  <c r="EY1" i="10"/>
  <c r="EX1" i="10"/>
  <c r="EW1" i="10"/>
  <c r="EV1" i="10"/>
  <c r="D66" i="10"/>
  <c r="F67" i="10"/>
  <c r="F66" i="10"/>
  <c r="A67" i="10"/>
  <c r="A66" i="10"/>
  <c r="D67" i="10"/>
  <c r="V12" i="5"/>
  <c r="S14" i="5"/>
  <c r="S13" i="5"/>
  <c r="S12" i="5"/>
  <c r="G22" i="13"/>
  <c r="F22" i="13"/>
  <c r="G22" i="14"/>
  <c r="E67" i="10"/>
  <c r="E66" i="10"/>
  <c r="J5" i="13" l="1"/>
  <c r="J7" i="13"/>
  <c r="D7" i="13"/>
  <c r="D8" i="13"/>
  <c r="J5" i="14"/>
  <c r="J7" i="14"/>
  <c r="D7" i="14"/>
  <c r="D8" i="14"/>
  <c r="F22" i="14"/>
  <c r="R2" i="14"/>
  <c r="R2" i="13"/>
  <c r="D23" i="11"/>
  <c r="D22" i="11"/>
  <c r="D9" i="11"/>
  <c r="D8" i="11"/>
  <c r="D7" i="11"/>
  <c r="N5" i="11"/>
  <c r="F36" i="11"/>
  <c r="K46" i="11" l="1"/>
  <c r="N45" i="11"/>
  <c r="K45" i="11"/>
  <c r="G46" i="11"/>
  <c r="G45" i="11"/>
  <c r="G44" i="11"/>
  <c r="G43" i="11"/>
  <c r="G42" i="11"/>
  <c r="G41" i="11"/>
  <c r="G40" i="11"/>
  <c r="L36" i="11"/>
  <c r="F37" i="11" s="1"/>
  <c r="C16" i="17"/>
  <c r="H16" i="17" s="1"/>
  <c r="M87" i="13"/>
  <c r="M88" i="13" s="1"/>
  <c r="M87" i="14"/>
  <c r="M88" i="14" s="1"/>
  <c r="BA1" i="4"/>
  <c r="AZ1" i="4"/>
  <c r="AY1" i="4"/>
  <c r="AX1" i="4"/>
  <c r="AW1" i="4"/>
  <c r="AV1" i="4"/>
  <c r="AU1" i="4"/>
  <c r="AT1" i="4"/>
  <c r="AS1" i="4"/>
  <c r="AR1" i="4"/>
  <c r="O2" i="17"/>
  <c r="L5" i="17" s="1"/>
  <c r="L14" i="17"/>
  <c r="L13" i="17"/>
  <c r="B10" i="16"/>
  <c r="Z85" i="17" a="1"/>
  <c r="Z89" i="17" a="1"/>
  <c r="Z95" i="17" a="1"/>
  <c r="Z79" i="17" a="1"/>
  <c r="Z76" i="17" a="1"/>
  <c r="Z98" i="17" a="1"/>
  <c r="Z91" i="17" a="1"/>
  <c r="Z112" i="17" a="1"/>
  <c r="Z84" i="17" a="1"/>
  <c r="Z94" i="17" a="1"/>
  <c r="Z99" i="17" a="1"/>
  <c r="Z72" i="17" a="1"/>
  <c r="Z103" i="17" a="1"/>
  <c r="Z75" i="17" a="1"/>
  <c r="Z101" i="17" a="1"/>
  <c r="Z83" i="17" a="1"/>
  <c r="Z93" i="17" a="1"/>
  <c r="Z111" i="17" a="1"/>
  <c r="Z100" i="17" a="1"/>
  <c r="Z80" i="17" a="1"/>
  <c r="Z110" i="17" a="1"/>
  <c r="Z90" i="17" a="1"/>
  <c r="Z105" i="17" a="1"/>
  <c r="Z96" i="17" a="1"/>
  <c r="Z107" i="17" a="1"/>
  <c r="AW16" i="16" a="1"/>
  <c r="Z87" i="17" a="1"/>
  <c r="Z77" i="17" a="1"/>
  <c r="Z113" i="17" a="1"/>
  <c r="Z104" i="17" a="1"/>
  <c r="Z102" i="17" a="1"/>
  <c r="Z115" i="17" a="1"/>
  <c r="Z106" i="17" a="1"/>
  <c r="C14" i="16" a="1"/>
  <c r="Z92" i="17" a="1"/>
  <c r="Z74" i="17" a="1"/>
  <c r="Z114" i="17" a="1"/>
  <c r="Z108" i="17" a="1"/>
  <c r="Z73" i="17" a="1"/>
  <c r="Z71" i="17" a="1"/>
  <c r="Z109" i="17" a="1"/>
  <c r="Z78" i="17" a="1"/>
  <c r="G14" i="16" a="1"/>
  <c r="Z97" i="17" a="1"/>
  <c r="Z88" i="17" a="1"/>
  <c r="G14" i="16" l="1"/>
  <c r="C14" i="16"/>
  <c r="AW16" i="16"/>
  <c r="AA13" i="16" s="1"/>
  <c r="Z99" i="17"/>
  <c r="D38" i="17" s="1"/>
  <c r="Z92" i="17"/>
  <c r="Z108" i="17"/>
  <c r="D47" i="17" s="1"/>
  <c r="Z112" i="17"/>
  <c r="D52" i="17" s="1"/>
  <c r="Z72" i="17"/>
  <c r="D22" i="17" s="1"/>
  <c r="Z104" i="17"/>
  <c r="D43" i="17" s="1"/>
  <c r="Z85" i="17"/>
  <c r="Z93" i="17"/>
  <c r="Z101" i="17"/>
  <c r="D40" i="17" s="1"/>
  <c r="Z113" i="17"/>
  <c r="D53" i="17" s="1"/>
  <c r="Z88" i="17"/>
  <c r="H9" i="17" s="1"/>
  <c r="Z77" i="17"/>
  <c r="D28" i="17" s="1"/>
  <c r="Z89" i="17"/>
  <c r="H10" i="17" s="1"/>
  <c r="Z97" i="17"/>
  <c r="F31" i="17" s="1"/>
  <c r="D31" i="17" s="1"/>
  <c r="Z105" i="17"/>
  <c r="D44" i="17" s="1"/>
  <c r="Z109" i="17"/>
  <c r="D48" i="17" s="1"/>
  <c r="Z80" i="17"/>
  <c r="D34" i="17" s="1"/>
  <c r="Z96" i="17"/>
  <c r="Z71" i="17"/>
  <c r="G13" i="17" s="1"/>
  <c r="Z78" i="17"/>
  <c r="Z94" i="17"/>
  <c r="L27" i="17" s="1"/>
  <c r="Z102" i="17"/>
  <c r="D41" i="17" s="1"/>
  <c r="Z114" i="17"/>
  <c r="D54" i="17" s="1"/>
  <c r="Z76" i="17"/>
  <c r="D27" i="17" s="1"/>
  <c r="Z100" i="17"/>
  <c r="D39" i="17" s="1"/>
  <c r="Z73" i="17"/>
  <c r="D23" i="17" s="1"/>
  <c r="Z74" i="17"/>
  <c r="D24" i="17" s="1"/>
  <c r="Z90" i="17"/>
  <c r="Z98" i="17"/>
  <c r="F32" i="17" s="1"/>
  <c r="D32" i="17" s="1"/>
  <c r="Z106" i="17"/>
  <c r="D45" i="17" s="1"/>
  <c r="Z110" i="17"/>
  <c r="D49" i="17" s="1"/>
  <c r="Z79" i="17"/>
  <c r="D33" i="17" s="1"/>
  <c r="Z87" i="17"/>
  <c r="D9" i="17" s="1"/>
  <c r="Z95" i="17"/>
  <c r="L31" i="17" s="1"/>
  <c r="Z103" i="17"/>
  <c r="D42" i="17" s="1"/>
  <c r="Z115" i="17"/>
  <c r="D55" i="17" s="1"/>
  <c r="Z84" i="17"/>
  <c r="Z75" i="17"/>
  <c r="D26" i="17" s="1"/>
  <c r="Z83" i="17"/>
  <c r="Z91" i="17"/>
  <c r="Z107" i="17"/>
  <c r="D46" i="17" s="1"/>
  <c r="Z111" i="17"/>
  <c r="D50" i="17" s="1"/>
  <c r="I57" i="21"/>
  <c r="D3" i="21"/>
  <c r="D4" i="21"/>
  <c r="D5" i="21"/>
  <c r="D6" i="21"/>
  <c r="D7" i="21"/>
  <c r="D8" i="21"/>
  <c r="D9" i="21"/>
  <c r="D10" i="21"/>
  <c r="D11" i="21"/>
  <c r="D12" i="21"/>
  <c r="D13" i="21"/>
  <c r="D14" i="21"/>
  <c r="D15" i="21"/>
  <c r="D16" i="21"/>
  <c r="D17" i="21"/>
  <c r="D18" i="21"/>
  <c r="D19" i="21"/>
  <c r="D20" i="21"/>
  <c r="D21" i="21"/>
  <c r="D22" i="21"/>
  <c r="D23" i="21"/>
  <c r="D24" i="21"/>
  <c r="D25" i="21"/>
  <c r="D26" i="21"/>
  <c r="D27" i="21"/>
  <c r="D28" i="21"/>
  <c r="D29" i="21"/>
  <c r="D30" i="21"/>
  <c r="D31" i="21"/>
  <c r="D32" i="21"/>
  <c r="D33" i="21"/>
  <c r="D34" i="21"/>
  <c r="D35" i="21"/>
  <c r="D36" i="21"/>
  <c r="D37" i="21"/>
  <c r="D38" i="21"/>
  <c r="D39" i="21"/>
  <c r="D40" i="21"/>
  <c r="D41" i="21"/>
  <c r="D42" i="21"/>
  <c r="D43" i="21"/>
  <c r="D44" i="21"/>
  <c r="D45" i="21"/>
  <c r="D46" i="21"/>
  <c r="D47" i="21"/>
  <c r="D48" i="21"/>
  <c r="D49" i="21"/>
  <c r="D50" i="21"/>
  <c r="D51" i="21"/>
  <c r="D52" i="21"/>
  <c r="D53" i="21"/>
  <c r="D54" i="21"/>
  <c r="D55" i="21"/>
  <c r="D56" i="21"/>
  <c r="D57" i="21"/>
  <c r="D58" i="21"/>
  <c r="D59" i="21"/>
  <c r="D60" i="21"/>
  <c r="D61" i="21"/>
  <c r="D62" i="21"/>
  <c r="D63" i="21"/>
  <c r="D64" i="21"/>
  <c r="D65" i="21"/>
  <c r="D66" i="21"/>
  <c r="D67" i="21"/>
  <c r="D68" i="21"/>
  <c r="D69" i="21"/>
  <c r="D70" i="21"/>
  <c r="D71" i="21"/>
  <c r="D72" i="21"/>
  <c r="D73" i="21"/>
  <c r="D74" i="21"/>
  <c r="D75" i="21"/>
  <c r="D76" i="21"/>
  <c r="D77" i="21"/>
  <c r="D78" i="21"/>
  <c r="D79" i="21"/>
  <c r="D80" i="21"/>
  <c r="D81" i="21"/>
  <c r="D82" i="21"/>
  <c r="D83" i="21"/>
  <c r="D84" i="21"/>
  <c r="D85" i="21"/>
  <c r="D86" i="21"/>
  <c r="D87" i="21"/>
  <c r="D88" i="21"/>
  <c r="D89" i="21"/>
  <c r="D90" i="21"/>
  <c r="D91" i="21"/>
  <c r="D92" i="21"/>
  <c r="D93" i="21"/>
  <c r="D94" i="21"/>
  <c r="D95" i="21"/>
  <c r="D96" i="21"/>
  <c r="D97" i="21"/>
  <c r="D98" i="21"/>
  <c r="D99" i="21"/>
  <c r="D100" i="21"/>
  <c r="D101" i="21"/>
  <c r="D102" i="21"/>
  <c r="M58" i="21"/>
  <c r="K52" i="21"/>
  <c r="J81" i="21"/>
  <c r="H46" i="21"/>
  <c r="G59" i="21"/>
  <c r="G82" i="21"/>
  <c r="G91" i="21"/>
  <c r="G99" i="21"/>
  <c r="E3" i="21"/>
  <c r="E4" i="21"/>
  <c r="F4" i="21" s="1"/>
  <c r="E5" i="21"/>
  <c r="E6" i="21"/>
  <c r="F6" i="21" s="1"/>
  <c r="E7" i="21"/>
  <c r="E8" i="21"/>
  <c r="F8" i="21" s="1"/>
  <c r="E9" i="21"/>
  <c r="J9" i="21" s="1"/>
  <c r="E10" i="21"/>
  <c r="E11" i="21"/>
  <c r="G11" i="21" s="1"/>
  <c r="E12" i="21"/>
  <c r="F12" i="21" s="1"/>
  <c r="E13" i="21"/>
  <c r="F13" i="21" s="1"/>
  <c r="E14" i="21"/>
  <c r="F14" i="21" s="1"/>
  <c r="E15" i="21"/>
  <c r="L15" i="21" s="1"/>
  <c r="E16" i="21"/>
  <c r="F16" i="21" s="1"/>
  <c r="E17" i="21"/>
  <c r="I17" i="21" s="1"/>
  <c r="E18" i="21"/>
  <c r="F18" i="21" s="1"/>
  <c r="E19" i="21"/>
  <c r="G19" i="21" s="1"/>
  <c r="E20" i="21"/>
  <c r="E21" i="21"/>
  <c r="E22" i="21"/>
  <c r="E23" i="21"/>
  <c r="L23" i="21" s="1"/>
  <c r="E24" i="21"/>
  <c r="E25" i="21"/>
  <c r="I25" i="21" s="1"/>
  <c r="E26" i="21"/>
  <c r="M26" i="21" s="1"/>
  <c r="E27" i="21"/>
  <c r="E28" i="21"/>
  <c r="E29" i="21"/>
  <c r="E30" i="21"/>
  <c r="E31" i="21"/>
  <c r="L31" i="21" s="1"/>
  <c r="E32" i="21"/>
  <c r="E33" i="21"/>
  <c r="I33" i="21" s="1"/>
  <c r="E34" i="21"/>
  <c r="M34" i="21" s="1"/>
  <c r="E35" i="21"/>
  <c r="E36" i="21"/>
  <c r="K36" i="21" s="1"/>
  <c r="E37" i="21"/>
  <c r="E38" i="21"/>
  <c r="E39" i="21"/>
  <c r="E40" i="21"/>
  <c r="E41" i="21"/>
  <c r="J41" i="21" s="1"/>
  <c r="E42" i="21"/>
  <c r="M42" i="21" s="1"/>
  <c r="E43" i="21"/>
  <c r="E44" i="21"/>
  <c r="K44" i="21" s="1"/>
  <c r="E45" i="21"/>
  <c r="E46" i="21"/>
  <c r="E47" i="21"/>
  <c r="E48" i="21"/>
  <c r="E49" i="21"/>
  <c r="J49" i="21" s="1"/>
  <c r="E50" i="21"/>
  <c r="M50" i="21" s="1"/>
  <c r="E51" i="21"/>
  <c r="G51" i="21" s="1"/>
  <c r="E52" i="21"/>
  <c r="E53" i="21"/>
  <c r="E54" i="21"/>
  <c r="H54" i="21" s="1"/>
  <c r="E55" i="21"/>
  <c r="F55" i="21" s="1"/>
  <c r="E56" i="21"/>
  <c r="E57" i="21"/>
  <c r="J57" i="21" s="1"/>
  <c r="E58" i="21"/>
  <c r="E59" i="21"/>
  <c r="E60" i="21"/>
  <c r="K60" i="21" s="1"/>
  <c r="E61" i="21"/>
  <c r="E62" i="21"/>
  <c r="G62" i="21" s="1"/>
  <c r="E63" i="21"/>
  <c r="E64" i="21"/>
  <c r="E65" i="21"/>
  <c r="J65" i="21" s="1"/>
  <c r="E66" i="21"/>
  <c r="M66" i="21" s="1"/>
  <c r="E67" i="21"/>
  <c r="E68" i="21"/>
  <c r="E69" i="21"/>
  <c r="E70" i="21"/>
  <c r="E71" i="21"/>
  <c r="E72" i="21"/>
  <c r="E73" i="21"/>
  <c r="J73" i="21" s="1"/>
  <c r="E74" i="21"/>
  <c r="E75" i="21"/>
  <c r="E76" i="21"/>
  <c r="E77" i="21"/>
  <c r="E78" i="21"/>
  <c r="E79" i="21"/>
  <c r="L79" i="21" s="1"/>
  <c r="E80" i="21"/>
  <c r="E81" i="21"/>
  <c r="I81" i="21" s="1"/>
  <c r="E82" i="21"/>
  <c r="E83" i="21"/>
  <c r="G83" i="21" s="1"/>
  <c r="E84" i="21"/>
  <c r="E85" i="21"/>
  <c r="E86" i="21"/>
  <c r="E87" i="21"/>
  <c r="L87" i="21" s="1"/>
  <c r="E88" i="21"/>
  <c r="E89" i="21"/>
  <c r="I89" i="21" s="1"/>
  <c r="E90" i="21"/>
  <c r="M90" i="21" s="1"/>
  <c r="E91" i="21"/>
  <c r="E92" i="21"/>
  <c r="G92" i="21" s="1"/>
  <c r="E93" i="21"/>
  <c r="E94" i="21"/>
  <c r="E95" i="21"/>
  <c r="L95" i="21" s="1"/>
  <c r="E96" i="21"/>
  <c r="E97" i="21"/>
  <c r="I97" i="21" s="1"/>
  <c r="E98" i="21"/>
  <c r="M98" i="21" s="1"/>
  <c r="E99" i="21"/>
  <c r="E100" i="21"/>
  <c r="K100" i="21" s="1"/>
  <c r="E101" i="21"/>
  <c r="E102" i="21"/>
  <c r="F7" i="21"/>
  <c r="F50" i="21"/>
  <c r="F71" i="21"/>
  <c r="F82" i="21"/>
  <c r="F3" i="21"/>
  <c r="F5" i="21"/>
  <c r="F19" i="21"/>
  <c r="F20" i="21"/>
  <c r="F21" i="21"/>
  <c r="F22" i="21"/>
  <c r="F24" i="21"/>
  <c r="F25" i="21"/>
  <c r="F27" i="21"/>
  <c r="F28" i="21"/>
  <c r="F29" i="21"/>
  <c r="F30" i="21"/>
  <c r="F32" i="21"/>
  <c r="F33" i="21"/>
  <c r="F35" i="21"/>
  <c r="F36" i="21"/>
  <c r="F37" i="21"/>
  <c r="F38" i="21"/>
  <c r="F40" i="21"/>
  <c r="F41" i="21"/>
  <c r="F43" i="21"/>
  <c r="F44" i="21"/>
  <c r="F45" i="21"/>
  <c r="F46" i="21"/>
  <c r="F48" i="21"/>
  <c r="F49" i="21"/>
  <c r="F51" i="21"/>
  <c r="F52" i="21"/>
  <c r="F53" i="21"/>
  <c r="F54" i="21"/>
  <c r="F56" i="21"/>
  <c r="F57" i="21"/>
  <c r="F59" i="21"/>
  <c r="F60" i="21"/>
  <c r="F61" i="21"/>
  <c r="F62" i="21"/>
  <c r="F64" i="21"/>
  <c r="F65" i="21"/>
  <c r="F67" i="21"/>
  <c r="F68" i="21"/>
  <c r="F69" i="21"/>
  <c r="F70" i="21"/>
  <c r="F72" i="21"/>
  <c r="F73" i="21"/>
  <c r="F75" i="21"/>
  <c r="F76" i="21"/>
  <c r="F77" i="21"/>
  <c r="F78" i="21"/>
  <c r="F80" i="21"/>
  <c r="F81" i="21"/>
  <c r="F83" i="21"/>
  <c r="F84" i="21"/>
  <c r="F85" i="21"/>
  <c r="F86" i="21"/>
  <c r="F88" i="21"/>
  <c r="F89" i="21"/>
  <c r="F91" i="21"/>
  <c r="F92" i="21"/>
  <c r="F93" i="21"/>
  <c r="F94" i="21"/>
  <c r="F96" i="21"/>
  <c r="F97" i="21"/>
  <c r="F99" i="21"/>
  <c r="F100" i="21"/>
  <c r="F101" i="21"/>
  <c r="F102" i="21"/>
  <c r="D11" i="6"/>
  <c r="D10" i="6"/>
  <c r="D9" i="6"/>
  <c r="D8" i="6"/>
  <c r="D7" i="6"/>
  <c r="D6" i="6"/>
  <c r="D5" i="6"/>
  <c r="D3" i="6"/>
  <c r="A24" i="6"/>
  <c r="H5" i="16"/>
  <c r="I4" i="16"/>
  <c r="B4" i="16"/>
  <c r="D15" i="11"/>
  <c r="B1" i="14"/>
  <c r="D5" i="14"/>
  <c r="G5" i="14"/>
  <c r="D6" i="14"/>
  <c r="G6" i="14"/>
  <c r="G75" i="14" s="1"/>
  <c r="G7" i="14"/>
  <c r="G8" i="14"/>
  <c r="M10" i="14"/>
  <c r="J25" i="14"/>
  <c r="K25" i="14"/>
  <c r="J26" i="14"/>
  <c r="K26" i="14"/>
  <c r="J27" i="14"/>
  <c r="K27" i="14"/>
  <c r="J28" i="14"/>
  <c r="K28" i="14"/>
  <c r="J29" i="14"/>
  <c r="K29" i="14"/>
  <c r="J30" i="14"/>
  <c r="K30" i="14"/>
  <c r="J31" i="14"/>
  <c r="K31" i="14"/>
  <c r="J34" i="14"/>
  <c r="K34" i="14"/>
  <c r="F35" i="14"/>
  <c r="G35" i="14"/>
  <c r="H35" i="14"/>
  <c r="I35" i="14"/>
  <c r="J37" i="14"/>
  <c r="K37" i="14"/>
  <c r="J38" i="14"/>
  <c r="K38" i="14"/>
  <c r="J39" i="14"/>
  <c r="K39" i="14"/>
  <c r="J40" i="14"/>
  <c r="K40" i="14"/>
  <c r="J41" i="14"/>
  <c r="K41" i="14"/>
  <c r="J42" i="14"/>
  <c r="K42" i="14"/>
  <c r="J46" i="14"/>
  <c r="K46" i="14"/>
  <c r="F47" i="14"/>
  <c r="G47" i="14"/>
  <c r="H47" i="14"/>
  <c r="I47" i="14"/>
  <c r="J49" i="14"/>
  <c r="K49" i="14"/>
  <c r="J50" i="14"/>
  <c r="K50" i="14"/>
  <c r="J51" i="14"/>
  <c r="K51" i="14"/>
  <c r="J52" i="14"/>
  <c r="K52" i="14"/>
  <c r="J53" i="14"/>
  <c r="K53" i="14"/>
  <c r="J54" i="14"/>
  <c r="K54" i="14"/>
  <c r="J55" i="14"/>
  <c r="K55" i="14"/>
  <c r="J56" i="14"/>
  <c r="K56" i="14"/>
  <c r="J57" i="14"/>
  <c r="K57" i="14"/>
  <c r="J58" i="14"/>
  <c r="K58" i="14"/>
  <c r="J59" i="14"/>
  <c r="K59" i="14"/>
  <c r="J60" i="14"/>
  <c r="F61" i="14"/>
  <c r="G61" i="14"/>
  <c r="H61" i="14"/>
  <c r="I61" i="14"/>
  <c r="J63" i="14"/>
  <c r="K63" i="14"/>
  <c r="M63" i="14"/>
  <c r="J64" i="14"/>
  <c r="L64" i="14" s="1"/>
  <c r="K64" i="14"/>
  <c r="M64" i="14"/>
  <c r="J65" i="14"/>
  <c r="L65" i="14" s="1"/>
  <c r="K65" i="14"/>
  <c r="M65" i="14"/>
  <c r="J66" i="14"/>
  <c r="L66" i="14" s="1"/>
  <c r="K66" i="14"/>
  <c r="M66" i="14"/>
  <c r="J67" i="14"/>
  <c r="K67" i="14"/>
  <c r="L67" i="14"/>
  <c r="M67" i="14"/>
  <c r="J68" i="14"/>
  <c r="L68" i="14" s="1"/>
  <c r="K68" i="14"/>
  <c r="M68" i="14"/>
  <c r="J69" i="14"/>
  <c r="K69" i="14"/>
  <c r="L69" i="14"/>
  <c r="M69" i="14"/>
  <c r="J70" i="14"/>
  <c r="K70" i="14"/>
  <c r="L70" i="14"/>
  <c r="M70" i="14"/>
  <c r="J71" i="14"/>
  <c r="K71" i="14"/>
  <c r="L71" i="14"/>
  <c r="M71" i="14"/>
  <c r="J72" i="14"/>
  <c r="K72" i="14"/>
  <c r="L72" i="14"/>
  <c r="M72" i="14"/>
  <c r="G73" i="14"/>
  <c r="I73" i="14"/>
  <c r="G82" i="14"/>
  <c r="F84" i="14"/>
  <c r="M10" i="13"/>
  <c r="F84" i="13"/>
  <c r="AW30" i="16" a="1"/>
  <c r="AW28" i="16" a="1"/>
  <c r="AW21" i="16" a="1"/>
  <c r="AW29" i="16" a="1"/>
  <c r="AW35" i="16" a="1"/>
  <c r="AW22" i="16" a="1"/>
  <c r="AW19" i="16" a="1"/>
  <c r="AW39" i="16" a="1"/>
  <c r="AW18" i="16" a="1"/>
  <c r="AW34" i="16" a="1"/>
  <c r="AW23" i="16" a="1"/>
  <c r="AW38" i="16" a="1"/>
  <c r="AW26" i="16" a="1"/>
  <c r="AW17" i="16" a="1"/>
  <c r="AW32" i="16" a="1"/>
  <c r="AW27" i="16" a="1"/>
  <c r="AW24" i="16" a="1"/>
  <c r="AW40" i="16" a="1"/>
  <c r="AW37" i="16" a="1"/>
  <c r="AW25" i="16" a="1"/>
  <c r="AW20" i="16" a="1"/>
  <c r="AW31" i="16" a="1"/>
  <c r="AW33" i="16" a="1"/>
  <c r="AW36" i="16" a="1"/>
  <c r="L63" i="14" l="1"/>
  <c r="J73" i="14"/>
  <c r="F17" i="21"/>
  <c r="D25" i="17"/>
  <c r="D29" i="17"/>
  <c r="F30" i="17"/>
  <c r="D30" i="17" s="1"/>
  <c r="AW29" i="16"/>
  <c r="C32" i="16" s="1" a="1"/>
  <c r="C32" i="16" s="1"/>
  <c r="AW37" i="16"/>
  <c r="G26" i="16" s="1" a="1"/>
  <c r="G26" i="16" s="1"/>
  <c r="AW25" i="16"/>
  <c r="C26" i="16" s="1" a="1"/>
  <c r="C26" i="16" s="1"/>
  <c r="AW22" i="16"/>
  <c r="C24" i="16" s="1" a="1"/>
  <c r="C24" i="16" s="1"/>
  <c r="AW26" i="16"/>
  <c r="C28" i="16" s="1" a="1"/>
  <c r="C28" i="16" s="1"/>
  <c r="AW34" i="16"/>
  <c r="C38" i="16" s="1" a="1"/>
  <c r="C38" i="16" s="1"/>
  <c r="AW33" i="16"/>
  <c r="C36" i="16" s="1" a="1"/>
  <c r="C36" i="16" s="1"/>
  <c r="AW30" i="16"/>
  <c r="C33" i="16" s="1" a="1"/>
  <c r="C33" i="16" s="1"/>
  <c r="AW38" i="16"/>
  <c r="G28" i="16" s="1" a="1"/>
  <c r="G28" i="16" s="1"/>
  <c r="AW35" i="16"/>
  <c r="G24" i="16" s="1" a="1"/>
  <c r="G24" i="16" s="1"/>
  <c r="AW21" i="16"/>
  <c r="AW27" i="16"/>
  <c r="C30" i="16" s="1" a="1"/>
  <c r="C30" i="16" s="1"/>
  <c r="AW31" i="16"/>
  <c r="C34" i="16" s="1" a="1"/>
  <c r="C34" i="16" s="1"/>
  <c r="AW39" i="16"/>
  <c r="G30" i="16" s="1" a="1"/>
  <c r="G30" i="16" s="1"/>
  <c r="AW19" i="16"/>
  <c r="G17" i="16" s="1" a="1"/>
  <c r="G17" i="16" s="1"/>
  <c r="AW24" i="16"/>
  <c r="C25" i="16" s="1" a="1"/>
  <c r="C25" i="16" s="1"/>
  <c r="AW28" i="16"/>
  <c r="C31" i="16" s="1" a="1"/>
  <c r="C31" i="16" s="1"/>
  <c r="AW40" i="16"/>
  <c r="G31" i="16" s="1" a="1"/>
  <c r="G31" i="16" s="1"/>
  <c r="AW23" i="16"/>
  <c r="AW20" i="16"/>
  <c r="G18" i="16" s="1" a="1"/>
  <c r="G18" i="16" s="1"/>
  <c r="AW32" i="16"/>
  <c r="C35" i="16" s="1" a="1"/>
  <c r="C35" i="16" s="1"/>
  <c r="AW36" i="16"/>
  <c r="G25" i="16" s="1" a="1"/>
  <c r="G25" i="16" s="1"/>
  <c r="AW18" i="16"/>
  <c r="C21" i="16" s="1" a="1"/>
  <c r="C21" i="16" s="1"/>
  <c r="AW17" i="16"/>
  <c r="C20" i="16" s="1" a="1"/>
  <c r="C20" i="16" s="1"/>
  <c r="J17" i="21"/>
  <c r="F79" i="21"/>
  <c r="F15" i="21"/>
  <c r="H96" i="21"/>
  <c r="K96" i="21"/>
  <c r="M96" i="21"/>
  <c r="I96" i="21"/>
  <c r="J96" i="21"/>
  <c r="L96" i="21"/>
  <c r="H88" i="21"/>
  <c r="K88" i="21"/>
  <c r="M88" i="21"/>
  <c r="I88" i="21"/>
  <c r="J88" i="21"/>
  <c r="L88" i="21"/>
  <c r="H80" i="21"/>
  <c r="K80" i="21"/>
  <c r="G80" i="21"/>
  <c r="M80" i="21"/>
  <c r="I80" i="21"/>
  <c r="J80" i="21"/>
  <c r="L80" i="21"/>
  <c r="H72" i="21"/>
  <c r="K72" i="21"/>
  <c r="G72" i="21"/>
  <c r="M72" i="21"/>
  <c r="I72" i="21"/>
  <c r="J72" i="21"/>
  <c r="L72" i="21"/>
  <c r="H64" i="21"/>
  <c r="K64" i="21"/>
  <c r="G64" i="21"/>
  <c r="M64" i="21"/>
  <c r="I64" i="21"/>
  <c r="J64" i="21"/>
  <c r="L64" i="21"/>
  <c r="H56" i="21"/>
  <c r="K56" i="21"/>
  <c r="G56" i="21"/>
  <c r="M56" i="21"/>
  <c r="I56" i="21"/>
  <c r="J56" i="21"/>
  <c r="L56" i="21"/>
  <c r="H48" i="21"/>
  <c r="K48" i="21"/>
  <c r="G48" i="21"/>
  <c r="M48" i="21"/>
  <c r="I48" i="21"/>
  <c r="J48" i="21"/>
  <c r="L48" i="21"/>
  <c r="H40" i="21"/>
  <c r="K40" i="21"/>
  <c r="G40" i="21"/>
  <c r="M40" i="21"/>
  <c r="I40" i="21"/>
  <c r="J40" i="21"/>
  <c r="L40" i="21"/>
  <c r="H32" i="21"/>
  <c r="K32" i="21"/>
  <c r="G32" i="21"/>
  <c r="M32" i="21"/>
  <c r="I32" i="21"/>
  <c r="J32" i="21"/>
  <c r="L32" i="21"/>
  <c r="H24" i="21"/>
  <c r="K24" i="21"/>
  <c r="G24" i="21"/>
  <c r="M24" i="21"/>
  <c r="I24" i="21"/>
  <c r="J24" i="21"/>
  <c r="L24" i="21"/>
  <c r="H16" i="21"/>
  <c r="K16" i="21"/>
  <c r="G16" i="21"/>
  <c r="M16" i="21"/>
  <c r="I16" i="21"/>
  <c r="J16" i="21"/>
  <c r="L16" i="21"/>
  <c r="H8" i="21"/>
  <c r="K8" i="21"/>
  <c r="G8" i="21"/>
  <c r="M8" i="21"/>
  <c r="I8" i="21"/>
  <c r="J8" i="21"/>
  <c r="L8" i="21"/>
  <c r="G100" i="21"/>
  <c r="J89" i="21"/>
  <c r="J25" i="21"/>
  <c r="I65" i="21"/>
  <c r="K102" i="21"/>
  <c r="M102" i="21"/>
  <c r="I102" i="21"/>
  <c r="J102" i="21"/>
  <c r="L102" i="21"/>
  <c r="K94" i="21"/>
  <c r="M94" i="21"/>
  <c r="I94" i="21"/>
  <c r="J94" i="21"/>
  <c r="L94" i="21"/>
  <c r="K86" i="21"/>
  <c r="M86" i="21"/>
  <c r="I86" i="21"/>
  <c r="J86" i="21"/>
  <c r="L86" i="21"/>
  <c r="K78" i="21"/>
  <c r="M78" i="21"/>
  <c r="I78" i="21"/>
  <c r="J78" i="21"/>
  <c r="L78" i="21"/>
  <c r="K70" i="21"/>
  <c r="M70" i="21"/>
  <c r="I70" i="21"/>
  <c r="J70" i="21"/>
  <c r="L70" i="21"/>
  <c r="K62" i="21"/>
  <c r="M62" i="21"/>
  <c r="I62" i="21"/>
  <c r="J62" i="21"/>
  <c r="L62" i="21"/>
  <c r="K54" i="21"/>
  <c r="M54" i="21"/>
  <c r="I54" i="21"/>
  <c r="J54" i="21"/>
  <c r="L54" i="21"/>
  <c r="K46" i="21"/>
  <c r="M46" i="21"/>
  <c r="I46" i="21"/>
  <c r="J46" i="21"/>
  <c r="L46" i="21"/>
  <c r="K38" i="21"/>
  <c r="G38" i="21"/>
  <c r="M38" i="21"/>
  <c r="I38" i="21"/>
  <c r="J38" i="21"/>
  <c r="L38" i="21"/>
  <c r="K30" i="21"/>
  <c r="G30" i="21"/>
  <c r="M30" i="21"/>
  <c r="I30" i="21"/>
  <c r="J30" i="21"/>
  <c r="L30" i="21"/>
  <c r="K22" i="21"/>
  <c r="G22" i="21"/>
  <c r="M22" i="21"/>
  <c r="I22" i="21"/>
  <c r="J22" i="21"/>
  <c r="L22" i="21"/>
  <c r="K14" i="21"/>
  <c r="G14" i="21"/>
  <c r="M14" i="21"/>
  <c r="I14" i="21"/>
  <c r="J14" i="21"/>
  <c r="L14" i="21"/>
  <c r="K6" i="21"/>
  <c r="G6" i="21"/>
  <c r="M6" i="21"/>
  <c r="I6" i="21"/>
  <c r="J6" i="21"/>
  <c r="L6" i="21"/>
  <c r="G98" i="21"/>
  <c r="G90" i="21"/>
  <c r="G78" i="21"/>
  <c r="G54" i="21"/>
  <c r="H102" i="21"/>
  <c r="H38" i="21"/>
  <c r="I49" i="21"/>
  <c r="F95" i="21"/>
  <c r="K95" i="21"/>
  <c r="M95" i="21"/>
  <c r="I95" i="21"/>
  <c r="J95" i="21"/>
  <c r="H95" i="21"/>
  <c r="K87" i="21"/>
  <c r="M87" i="21"/>
  <c r="I87" i="21"/>
  <c r="J87" i="21"/>
  <c r="H87" i="21"/>
  <c r="K79" i="21"/>
  <c r="G79" i="21"/>
  <c r="M79" i="21"/>
  <c r="I79" i="21"/>
  <c r="J79" i="21"/>
  <c r="H79" i="21"/>
  <c r="K71" i="21"/>
  <c r="G71" i="21"/>
  <c r="M71" i="21"/>
  <c r="I71" i="21"/>
  <c r="J71" i="21"/>
  <c r="H71" i="21"/>
  <c r="F63" i="21"/>
  <c r="K63" i="21"/>
  <c r="G63" i="21"/>
  <c r="M63" i="21"/>
  <c r="I63" i="21"/>
  <c r="J63" i="21"/>
  <c r="H63" i="21"/>
  <c r="K55" i="21"/>
  <c r="G55" i="21"/>
  <c r="M55" i="21"/>
  <c r="I55" i="21"/>
  <c r="J55" i="21"/>
  <c r="H55" i="21"/>
  <c r="K47" i="21"/>
  <c r="G47" i="21"/>
  <c r="M47" i="21"/>
  <c r="I47" i="21"/>
  <c r="J47" i="21"/>
  <c r="H47" i="21"/>
  <c r="K39" i="21"/>
  <c r="G39" i="21"/>
  <c r="M39" i="21"/>
  <c r="I39" i="21"/>
  <c r="J39" i="21"/>
  <c r="H39" i="21"/>
  <c r="F31" i="21"/>
  <c r="K31" i="21"/>
  <c r="G31" i="21"/>
  <c r="M31" i="21"/>
  <c r="I31" i="21"/>
  <c r="J31" i="21"/>
  <c r="H31" i="21"/>
  <c r="K23" i="21"/>
  <c r="G23" i="21"/>
  <c r="M23" i="21"/>
  <c r="I23" i="21"/>
  <c r="J23" i="21"/>
  <c r="H23" i="21"/>
  <c r="K15" i="21"/>
  <c r="G15" i="21"/>
  <c r="M15" i="21"/>
  <c r="I15" i="21"/>
  <c r="J15" i="21"/>
  <c r="H15" i="21"/>
  <c r="K7" i="21"/>
  <c r="G7" i="21"/>
  <c r="M7" i="21"/>
  <c r="I7" i="21"/>
  <c r="J7" i="21"/>
  <c r="H7" i="21"/>
  <c r="M101" i="21"/>
  <c r="I101" i="21"/>
  <c r="J101" i="21"/>
  <c r="L101" i="21"/>
  <c r="H101" i="21"/>
  <c r="K101" i="21"/>
  <c r="M93" i="21"/>
  <c r="I93" i="21"/>
  <c r="J93" i="21"/>
  <c r="L93" i="21"/>
  <c r="H93" i="21"/>
  <c r="K93" i="21"/>
  <c r="M85" i="21"/>
  <c r="I85" i="21"/>
  <c r="J85" i="21"/>
  <c r="L85" i="21"/>
  <c r="H85" i="21"/>
  <c r="K85" i="21"/>
  <c r="M77" i="21"/>
  <c r="I77" i="21"/>
  <c r="J77" i="21"/>
  <c r="L77" i="21"/>
  <c r="H77" i="21"/>
  <c r="K77" i="21"/>
  <c r="G69" i="21"/>
  <c r="M69" i="21"/>
  <c r="I69" i="21"/>
  <c r="J69" i="21"/>
  <c r="L69" i="21"/>
  <c r="H69" i="21"/>
  <c r="K69" i="21"/>
  <c r="G61" i="21"/>
  <c r="M61" i="21"/>
  <c r="I61" i="21"/>
  <c r="J61" i="21"/>
  <c r="L61" i="21"/>
  <c r="H61" i="21"/>
  <c r="K61" i="21"/>
  <c r="G53" i="21"/>
  <c r="M53" i="21"/>
  <c r="I53" i="21"/>
  <c r="J53" i="21"/>
  <c r="L53" i="21"/>
  <c r="H53" i="21"/>
  <c r="K53" i="21"/>
  <c r="G45" i="21"/>
  <c r="M45" i="21"/>
  <c r="I45" i="21"/>
  <c r="J45" i="21"/>
  <c r="L45" i="21"/>
  <c r="H45" i="21"/>
  <c r="K45" i="21"/>
  <c r="G37" i="21"/>
  <c r="M37" i="21"/>
  <c r="I37" i="21"/>
  <c r="J37" i="21"/>
  <c r="L37" i="21"/>
  <c r="H37" i="21"/>
  <c r="K37" i="21"/>
  <c r="G29" i="21"/>
  <c r="M29" i="21"/>
  <c r="I29" i="21"/>
  <c r="J29" i="21"/>
  <c r="L29" i="21"/>
  <c r="H29" i="21"/>
  <c r="K29" i="21"/>
  <c r="G21" i="21"/>
  <c r="M21" i="21"/>
  <c r="I21" i="21"/>
  <c r="J21" i="21"/>
  <c r="L21" i="21"/>
  <c r="H21" i="21"/>
  <c r="K21" i="21"/>
  <c r="G13" i="21"/>
  <c r="M13" i="21"/>
  <c r="I13" i="21"/>
  <c r="J13" i="21"/>
  <c r="L13" i="21"/>
  <c r="H13" i="21"/>
  <c r="K13" i="21"/>
  <c r="G5" i="21"/>
  <c r="M5" i="21"/>
  <c r="I5" i="21"/>
  <c r="J5" i="21"/>
  <c r="L5" i="21"/>
  <c r="H5" i="21"/>
  <c r="K5" i="21"/>
  <c r="G97" i="21"/>
  <c r="G88" i="21"/>
  <c r="G77" i="21"/>
  <c r="H94" i="21"/>
  <c r="H30" i="21"/>
  <c r="L71" i="21"/>
  <c r="L7" i="21"/>
  <c r="I41" i="21"/>
  <c r="F47" i="21"/>
  <c r="M100" i="21"/>
  <c r="I100" i="21"/>
  <c r="J100" i="21"/>
  <c r="L100" i="21"/>
  <c r="H100" i="21"/>
  <c r="M92" i="21"/>
  <c r="I92" i="21"/>
  <c r="J92" i="21"/>
  <c r="L92" i="21"/>
  <c r="H92" i="21"/>
  <c r="M84" i="21"/>
  <c r="I84" i="21"/>
  <c r="J84" i="21"/>
  <c r="L84" i="21"/>
  <c r="H84" i="21"/>
  <c r="M76" i="21"/>
  <c r="I76" i="21"/>
  <c r="J76" i="21"/>
  <c r="L76" i="21"/>
  <c r="H76" i="21"/>
  <c r="M68" i="21"/>
  <c r="I68" i="21"/>
  <c r="J68" i="21"/>
  <c r="L68" i="21"/>
  <c r="H68" i="21"/>
  <c r="G68" i="21"/>
  <c r="M60" i="21"/>
  <c r="I60" i="21"/>
  <c r="J60" i="21"/>
  <c r="L60" i="21"/>
  <c r="H60" i="21"/>
  <c r="G60" i="21"/>
  <c r="M52" i="21"/>
  <c r="I52" i="21"/>
  <c r="J52" i="21"/>
  <c r="L52" i="21"/>
  <c r="H52" i="21"/>
  <c r="G52" i="21"/>
  <c r="M44" i="21"/>
  <c r="I44" i="21"/>
  <c r="J44" i="21"/>
  <c r="L44" i="21"/>
  <c r="H44" i="21"/>
  <c r="G44" i="21"/>
  <c r="M36" i="21"/>
  <c r="I36" i="21"/>
  <c r="J36" i="21"/>
  <c r="L36" i="21"/>
  <c r="H36" i="21"/>
  <c r="G36" i="21"/>
  <c r="M28" i="21"/>
  <c r="I28" i="21"/>
  <c r="J28" i="21"/>
  <c r="L28" i="21"/>
  <c r="H28" i="21"/>
  <c r="G28" i="21"/>
  <c r="M20" i="21"/>
  <c r="I20" i="21"/>
  <c r="J20" i="21"/>
  <c r="L20" i="21"/>
  <c r="H20" i="21"/>
  <c r="G20" i="21"/>
  <c r="M12" i="21"/>
  <c r="I12" i="21"/>
  <c r="J12" i="21"/>
  <c r="L12" i="21"/>
  <c r="H12" i="21"/>
  <c r="G12" i="21"/>
  <c r="M4" i="21"/>
  <c r="I4" i="21"/>
  <c r="J4" i="21"/>
  <c r="L4" i="21"/>
  <c r="H4" i="21"/>
  <c r="G4" i="21"/>
  <c r="G96" i="21"/>
  <c r="G87" i="21"/>
  <c r="G76" i="21"/>
  <c r="G46" i="21"/>
  <c r="H86" i="21"/>
  <c r="H22" i="21"/>
  <c r="K92" i="21"/>
  <c r="K28" i="21"/>
  <c r="L63" i="21"/>
  <c r="F39" i="21"/>
  <c r="I99" i="21"/>
  <c r="J99" i="21"/>
  <c r="L99" i="21"/>
  <c r="H99" i="21"/>
  <c r="K99" i="21"/>
  <c r="M99" i="21"/>
  <c r="I91" i="21"/>
  <c r="J91" i="21"/>
  <c r="L91" i="21"/>
  <c r="H91" i="21"/>
  <c r="K91" i="21"/>
  <c r="M91" i="21"/>
  <c r="I83" i="21"/>
  <c r="J83" i="21"/>
  <c r="L83" i="21"/>
  <c r="H83" i="21"/>
  <c r="K83" i="21"/>
  <c r="M83" i="21"/>
  <c r="I75" i="21"/>
  <c r="J75" i="21"/>
  <c r="L75" i="21"/>
  <c r="H75" i="21"/>
  <c r="K75" i="21"/>
  <c r="M75" i="21"/>
  <c r="I67" i="21"/>
  <c r="J67" i="21"/>
  <c r="L67" i="21"/>
  <c r="H67" i="21"/>
  <c r="K67" i="21"/>
  <c r="M67" i="21"/>
  <c r="I59" i="21"/>
  <c r="J59" i="21"/>
  <c r="L59" i="21"/>
  <c r="H59" i="21"/>
  <c r="K59" i="21"/>
  <c r="M59" i="21"/>
  <c r="I51" i="21"/>
  <c r="J51" i="21"/>
  <c r="L51" i="21"/>
  <c r="H51" i="21"/>
  <c r="K51" i="21"/>
  <c r="M51" i="21"/>
  <c r="I43" i="21"/>
  <c r="J43" i="21"/>
  <c r="L43" i="21"/>
  <c r="H43" i="21"/>
  <c r="K43" i="21"/>
  <c r="M43" i="21"/>
  <c r="I35" i="21"/>
  <c r="J35" i="21"/>
  <c r="L35" i="21"/>
  <c r="H35" i="21"/>
  <c r="K35" i="21"/>
  <c r="M35" i="21"/>
  <c r="I27" i="21"/>
  <c r="J27" i="21"/>
  <c r="L27" i="21"/>
  <c r="H27" i="21"/>
  <c r="K27" i="21"/>
  <c r="M27" i="21"/>
  <c r="I19" i="21"/>
  <c r="J19" i="21"/>
  <c r="L19" i="21"/>
  <c r="H19" i="21"/>
  <c r="K19" i="21"/>
  <c r="M19" i="21"/>
  <c r="F11" i="21"/>
  <c r="I11" i="21"/>
  <c r="J11" i="21"/>
  <c r="L11" i="21"/>
  <c r="H11" i="21"/>
  <c r="K11" i="21"/>
  <c r="M11" i="21"/>
  <c r="L3" i="21"/>
  <c r="I3" i="21"/>
  <c r="G95" i="21"/>
  <c r="G86" i="21"/>
  <c r="G75" i="21"/>
  <c r="G43" i="21"/>
  <c r="H78" i="21"/>
  <c r="H14" i="21"/>
  <c r="K84" i="21"/>
  <c r="K20" i="21"/>
  <c r="L55" i="21"/>
  <c r="K61" i="14"/>
  <c r="F87" i="21"/>
  <c r="F23" i="21"/>
  <c r="F98" i="21"/>
  <c r="L98" i="21"/>
  <c r="H98" i="21"/>
  <c r="K98" i="21"/>
  <c r="I98" i="21"/>
  <c r="J98" i="21"/>
  <c r="F90" i="21"/>
  <c r="L90" i="21"/>
  <c r="H90" i="21"/>
  <c r="K90" i="21"/>
  <c r="I90" i="21"/>
  <c r="J90" i="21"/>
  <c r="L82" i="21"/>
  <c r="H82" i="21"/>
  <c r="K82" i="21"/>
  <c r="I82" i="21"/>
  <c r="J82" i="21"/>
  <c r="F74" i="21"/>
  <c r="L74" i="21"/>
  <c r="H74" i="21"/>
  <c r="K74" i="21"/>
  <c r="G74" i="21"/>
  <c r="I74" i="21"/>
  <c r="J74" i="21"/>
  <c r="F66" i="21"/>
  <c r="L66" i="21"/>
  <c r="H66" i="21"/>
  <c r="K66" i="21"/>
  <c r="G66" i="21"/>
  <c r="I66" i="21"/>
  <c r="J66" i="21"/>
  <c r="F58" i="21"/>
  <c r="L58" i="21"/>
  <c r="H58" i="21"/>
  <c r="K58" i="21"/>
  <c r="G58" i="21"/>
  <c r="I58" i="21"/>
  <c r="J58" i="21"/>
  <c r="L50" i="21"/>
  <c r="H50" i="21"/>
  <c r="K50" i="21"/>
  <c r="G50" i="21"/>
  <c r="I50" i="21"/>
  <c r="J50" i="21"/>
  <c r="F42" i="21"/>
  <c r="L42" i="21"/>
  <c r="H42" i="21"/>
  <c r="K42" i="21"/>
  <c r="G42" i="21"/>
  <c r="I42" i="21"/>
  <c r="J42" i="21"/>
  <c r="F34" i="21"/>
  <c r="L34" i="21"/>
  <c r="H34" i="21"/>
  <c r="K34" i="21"/>
  <c r="G34" i="21"/>
  <c r="I34" i="21"/>
  <c r="J34" i="21"/>
  <c r="F26" i="21"/>
  <c r="L26" i="21"/>
  <c r="H26" i="21"/>
  <c r="K26" i="21"/>
  <c r="G26" i="21"/>
  <c r="I26" i="21"/>
  <c r="J26" i="21"/>
  <c r="L18" i="21"/>
  <c r="H18" i="21"/>
  <c r="K18" i="21"/>
  <c r="G18" i="21"/>
  <c r="I18" i="21"/>
  <c r="J18" i="21"/>
  <c r="F10" i="21"/>
  <c r="L10" i="21"/>
  <c r="H10" i="21"/>
  <c r="K10" i="21"/>
  <c r="G10" i="21"/>
  <c r="I10" i="21"/>
  <c r="J10" i="21"/>
  <c r="G102" i="21"/>
  <c r="G94" i="21"/>
  <c r="G85" i="21"/>
  <c r="G70" i="21"/>
  <c r="G35" i="21"/>
  <c r="H70" i="21"/>
  <c r="H6" i="21"/>
  <c r="K76" i="21"/>
  <c r="K12" i="21"/>
  <c r="L47" i="21"/>
  <c r="M82" i="21"/>
  <c r="M18" i="21"/>
  <c r="L97" i="21"/>
  <c r="H97" i="21"/>
  <c r="K97" i="21"/>
  <c r="M97" i="21"/>
  <c r="L89" i="21"/>
  <c r="H89" i="21"/>
  <c r="K89" i="21"/>
  <c r="G89" i="21"/>
  <c r="M89" i="21"/>
  <c r="L81" i="21"/>
  <c r="H81" i="21"/>
  <c r="K81" i="21"/>
  <c r="G81" i="21"/>
  <c r="M81" i="21"/>
  <c r="L73" i="21"/>
  <c r="H73" i="21"/>
  <c r="K73" i="21"/>
  <c r="G73" i="21"/>
  <c r="M73" i="21"/>
  <c r="L65" i="21"/>
  <c r="H65" i="21"/>
  <c r="K65" i="21"/>
  <c r="G65" i="21"/>
  <c r="M65" i="21"/>
  <c r="L57" i="21"/>
  <c r="H57" i="21"/>
  <c r="K57" i="21"/>
  <c r="G57" i="21"/>
  <c r="M57" i="21"/>
  <c r="L49" i="21"/>
  <c r="H49" i="21"/>
  <c r="K49" i="21"/>
  <c r="G49" i="21"/>
  <c r="M49" i="21"/>
  <c r="L41" i="21"/>
  <c r="H41" i="21"/>
  <c r="K41" i="21"/>
  <c r="G41" i="21"/>
  <c r="M41" i="21"/>
  <c r="L33" i="21"/>
  <c r="H33" i="21"/>
  <c r="K33" i="21"/>
  <c r="G33" i="21"/>
  <c r="M33" i="21"/>
  <c r="L25" i="21"/>
  <c r="H25" i="21"/>
  <c r="K25" i="21"/>
  <c r="G25" i="21"/>
  <c r="M25" i="21"/>
  <c r="L17" i="21"/>
  <c r="H17" i="21"/>
  <c r="K17" i="21"/>
  <c r="G17" i="21"/>
  <c r="M17" i="21"/>
  <c r="F9" i="21"/>
  <c r="L9" i="21"/>
  <c r="H9" i="21"/>
  <c r="K9" i="21"/>
  <c r="G9" i="21"/>
  <c r="M9" i="21"/>
  <c r="G101" i="21"/>
  <c r="G93" i="21"/>
  <c r="G84" i="21"/>
  <c r="G67" i="21"/>
  <c r="G27" i="21"/>
  <c r="H62" i="21"/>
  <c r="J97" i="21"/>
  <c r="J33" i="21"/>
  <c r="K68" i="21"/>
  <c r="K4" i="21"/>
  <c r="L39" i="21"/>
  <c r="M74" i="21"/>
  <c r="M10" i="21"/>
  <c r="I73" i="21"/>
  <c r="I9" i="21"/>
  <c r="H3" i="21"/>
  <c r="J3" i="21"/>
  <c r="G3" i="21"/>
  <c r="K3" i="21"/>
  <c r="M3" i="21"/>
  <c r="K73" i="14"/>
  <c r="J61" i="14"/>
  <c r="K47" i="14"/>
  <c r="J47" i="14"/>
  <c r="K35" i="14"/>
  <c r="G23" i="14" s="1"/>
  <c r="G24" i="14" s="1"/>
  <c r="G36" i="14" s="1"/>
  <c r="J35" i="14"/>
  <c r="F23" i="14" s="1"/>
  <c r="F24" i="14" s="1"/>
  <c r="G19" i="16" l="1" a="1"/>
  <c r="G19" i="16" s="1"/>
  <c r="K24" i="14"/>
  <c r="K36" i="14" s="1"/>
  <c r="K48" i="14" s="1"/>
  <c r="K62" i="14" s="1"/>
  <c r="J24" i="14"/>
  <c r="J36" i="14" s="1"/>
  <c r="J48" i="14" s="1"/>
  <c r="J62" i="14" s="1"/>
  <c r="T83" i="14" s="1"/>
  <c r="F36" i="14"/>
  <c r="M36" i="14"/>
  <c r="G48" i="14"/>
  <c r="I24" i="14" l="1"/>
  <c r="I36" i="14" s="1"/>
  <c r="I48" i="14" s="1"/>
  <c r="I62" i="14" s="1"/>
  <c r="I77" i="14" s="1"/>
  <c r="I80" i="14" s="1"/>
  <c r="M48" i="14"/>
  <c r="G62" i="14"/>
  <c r="G77" i="14" s="1"/>
  <c r="F48" i="14"/>
  <c r="F62" i="14" s="1"/>
  <c r="F77" i="14" s="1"/>
  <c r="F80" i="14" s="1"/>
  <c r="L36" i="14"/>
  <c r="H24" i="14"/>
  <c r="H80" i="14" l="1"/>
  <c r="F82" i="14"/>
  <c r="K77" i="14"/>
  <c r="I11" i="14"/>
  <c r="H11" i="14"/>
  <c r="H36" i="14"/>
  <c r="H48" i="14" s="1"/>
  <c r="H62" i="14" s="1"/>
  <c r="L48" i="14"/>
  <c r="L62" i="14" l="1"/>
  <c r="S83" i="14"/>
  <c r="U83" i="14" s="1"/>
  <c r="S84" i="14" l="1"/>
  <c r="F83" i="14" l="1"/>
  <c r="F85" i="14" s="1"/>
  <c r="K80" i="14" l="1"/>
  <c r="L80" i="14" s="1"/>
  <c r="G82" i="13" l="1"/>
  <c r="G8" i="13"/>
  <c r="G7" i="13"/>
  <c r="I29" i="11"/>
  <c r="G5" i="13"/>
  <c r="N24" i="11"/>
  <c r="D5" i="13"/>
  <c r="D6" i="13"/>
  <c r="B1" i="13"/>
  <c r="G6" i="13"/>
  <c r="G75" i="13" s="1"/>
  <c r="I28" i="11"/>
  <c r="B5" i="17" l="1"/>
  <c r="L24" i="17"/>
  <c r="M25" i="17" l="1"/>
  <c r="O25" i="17"/>
  <c r="H13" i="17"/>
  <c r="H15" i="17" s="1"/>
  <c r="H14" i="17"/>
  <c r="L15" i="17"/>
  <c r="L17" i="17"/>
  <c r="H22" i="17"/>
  <c r="H23" i="17"/>
  <c r="H24" i="17"/>
  <c r="M24" i="17"/>
  <c r="H25" i="17"/>
  <c r="H26" i="17"/>
  <c r="H27" i="17"/>
  <c r="H28" i="17"/>
  <c r="L28" i="17"/>
  <c r="H29" i="17"/>
  <c r="E30" i="17"/>
  <c r="H30" i="17" s="1"/>
  <c r="E31" i="17"/>
  <c r="H31" i="17" s="1"/>
  <c r="E32" i="17"/>
  <c r="H32" i="17" s="1"/>
  <c r="H33" i="17"/>
  <c r="H34" i="17"/>
  <c r="H38" i="17"/>
  <c r="H39" i="17"/>
  <c r="H40" i="17"/>
  <c r="H41" i="17"/>
  <c r="H42" i="17"/>
  <c r="H43" i="17"/>
  <c r="H44" i="17"/>
  <c r="H45" i="17"/>
  <c r="H46" i="17"/>
  <c r="H47" i="17"/>
  <c r="H48" i="17"/>
  <c r="H49" i="17"/>
  <c r="H50" i="17"/>
  <c r="H51" i="17"/>
  <c r="H52" i="17"/>
  <c r="H53" i="17"/>
  <c r="H54" i="17"/>
  <c r="H55" i="17"/>
  <c r="Y2" i="16"/>
  <c r="Y3" i="16"/>
  <c r="D4" i="16"/>
  <c r="G4" i="16"/>
  <c r="B5" i="16"/>
  <c r="D6" i="16"/>
  <c r="G6" i="16"/>
  <c r="AB6" i="16"/>
  <c r="AH7" i="16"/>
  <c r="M4" i="16" s="1"/>
  <c r="M6" i="16" s="1"/>
  <c r="S5" i="16" s="1"/>
  <c r="B8" i="16"/>
  <c r="C8" i="16"/>
  <c r="D8" i="16"/>
  <c r="AG9" i="16"/>
  <c r="N4" i="16" s="1"/>
  <c r="AI10" i="16"/>
  <c r="AI11" i="16"/>
  <c r="AI12" i="16"/>
  <c r="C13" i="16"/>
  <c r="AI13" i="16"/>
  <c r="A14" i="16"/>
  <c r="AI14" i="16"/>
  <c r="AI15" i="16"/>
  <c r="AI16" i="16"/>
  <c r="C17" i="16"/>
  <c r="F4" i="16" s="1"/>
  <c r="AI17" i="16"/>
  <c r="AI18" i="16"/>
  <c r="C19" i="16"/>
  <c r="AI19" i="16"/>
  <c r="AI20" i="16"/>
  <c r="AI21" i="16"/>
  <c r="AI22" i="16"/>
  <c r="AI23" i="16"/>
  <c r="D24" i="16"/>
  <c r="AI25" i="16"/>
  <c r="AI26" i="16"/>
  <c r="AI30" i="16"/>
  <c r="D36" i="16"/>
  <c r="AI24" i="16" s="1"/>
  <c r="H17" i="17" l="1"/>
  <c r="H19" i="17" s="1"/>
  <c r="M28" i="17"/>
  <c r="M29" i="17"/>
  <c r="AE5" i="16"/>
  <c r="R5" i="16"/>
  <c r="H35" i="17"/>
  <c r="Q25" i="17"/>
  <c r="G8" i="16"/>
  <c r="H56" i="17"/>
  <c r="AJ10" i="16"/>
  <c r="N5" i="16"/>
  <c r="O5" i="16" s="1"/>
  <c r="P5" i="16" s="1"/>
  <c r="Q5" i="16" s="1"/>
  <c r="V5" i="16" s="1"/>
  <c r="W5" i="16" s="1"/>
  <c r="X5" i="16" s="1"/>
  <c r="Y5" i="16" l="1"/>
  <c r="L21" i="17"/>
  <c r="L32" i="17" s="1"/>
  <c r="M33" i="17" s="1"/>
  <c r="P25" i="17"/>
  <c r="T5" i="16"/>
  <c r="U5" i="16" s="1"/>
  <c r="L5" i="16"/>
  <c r="Y4" i="16"/>
  <c r="O26" i="17"/>
  <c r="Q26" i="17" s="1"/>
  <c r="Y6" i="16" l="1"/>
  <c r="AA5" i="16"/>
  <c r="AB4" i="16" s="1"/>
  <c r="AE2" i="16" s="1"/>
  <c r="R25" i="17"/>
  <c r="S25" i="17" s="1"/>
  <c r="M32" i="17"/>
  <c r="O27" i="17"/>
  <c r="Q27" i="17" s="1"/>
  <c r="P26" i="17"/>
  <c r="T25" i="17" l="1"/>
  <c r="R26" i="17"/>
  <c r="T26" i="17" s="1"/>
  <c r="AB8" i="16"/>
  <c r="F5" i="16"/>
  <c r="Z5" i="16"/>
  <c r="AE8" i="16"/>
  <c r="O28" i="17"/>
  <c r="Q28" i="17" s="1"/>
  <c r="P27" i="17"/>
  <c r="R27" i="17" l="1"/>
  <c r="T27" i="17" s="1"/>
  <c r="S26" i="17"/>
  <c r="O29" i="17"/>
  <c r="Q29" i="17" s="1"/>
  <c r="P28" i="17"/>
  <c r="S27" i="17" l="1"/>
  <c r="R28" i="17"/>
  <c r="T28" i="17" s="1"/>
  <c r="P29" i="17"/>
  <c r="O30" i="17"/>
  <c r="Q30" i="17" s="1"/>
  <c r="R29" i="17" l="1"/>
  <c r="T29" i="17" s="1"/>
  <c r="S28" i="17"/>
  <c r="O31" i="17"/>
  <c r="Q31" i="17" s="1"/>
  <c r="P30" i="17"/>
  <c r="S29" i="17" l="1"/>
  <c r="R30" i="17"/>
  <c r="T30" i="17" s="1"/>
  <c r="O32" i="17"/>
  <c r="Q32" i="17" s="1"/>
  <c r="P31" i="17"/>
  <c r="S30" i="17" l="1"/>
  <c r="R31" i="17"/>
  <c r="T31" i="17" s="1"/>
  <c r="O33" i="17"/>
  <c r="Q33" i="17" s="1"/>
  <c r="P32" i="17"/>
  <c r="S31" i="17" l="1"/>
  <c r="R32" i="17"/>
  <c r="R33" i="17" s="1"/>
  <c r="P33" i="17"/>
  <c r="O34" i="17"/>
  <c r="Q34" i="17" s="1"/>
  <c r="T33" i="17" l="1"/>
  <c r="S33" i="17"/>
  <c r="T32" i="17"/>
  <c r="S32" i="17"/>
  <c r="R34" i="17"/>
  <c r="T34" i="17" s="1"/>
  <c r="P34" i="17"/>
  <c r="O35" i="17"/>
  <c r="Q35" i="17" s="1"/>
  <c r="S34" i="17" l="1"/>
  <c r="R35" i="17"/>
  <c r="T35" i="17" s="1"/>
  <c r="O36" i="17"/>
  <c r="Q36" i="17" s="1"/>
  <c r="P35" i="17"/>
  <c r="R36" i="17" l="1"/>
  <c r="T36" i="17" s="1"/>
  <c r="S35" i="17"/>
  <c r="O37" i="17"/>
  <c r="Q37" i="17" s="1"/>
  <c r="P36" i="17"/>
  <c r="S36" i="17" l="1"/>
  <c r="R37" i="17"/>
  <c r="T37" i="17" s="1"/>
  <c r="O38" i="17"/>
  <c r="Q38" i="17" s="1"/>
  <c r="P37" i="17"/>
  <c r="S37" i="17" l="1"/>
  <c r="R38" i="17"/>
  <c r="T38" i="17" s="1"/>
  <c r="O39" i="17"/>
  <c r="Q39" i="17" s="1"/>
  <c r="P38" i="17"/>
  <c r="S38" i="17" l="1"/>
  <c r="R39" i="17"/>
  <c r="T39" i="17" s="1"/>
  <c r="P39" i="17"/>
  <c r="S39" i="17" l="1"/>
  <c r="I73" i="13"/>
  <c r="H73" i="13"/>
  <c r="G73" i="13"/>
  <c r="F73" i="13"/>
  <c r="M72" i="13"/>
  <c r="L72" i="13"/>
  <c r="K72" i="13"/>
  <c r="J72" i="13"/>
  <c r="M71" i="13"/>
  <c r="L71" i="13"/>
  <c r="K71" i="13"/>
  <c r="J71" i="13"/>
  <c r="M70" i="13"/>
  <c r="L70" i="13"/>
  <c r="K70" i="13"/>
  <c r="J70" i="13"/>
  <c r="M69" i="13"/>
  <c r="L69" i="13"/>
  <c r="K69" i="13"/>
  <c r="J69" i="13"/>
  <c r="M68" i="13"/>
  <c r="L68" i="13"/>
  <c r="K68" i="13"/>
  <c r="J68" i="13"/>
  <c r="M67" i="13"/>
  <c r="K67" i="13"/>
  <c r="J67" i="13"/>
  <c r="L67" i="13" s="1"/>
  <c r="M66" i="13"/>
  <c r="K66" i="13"/>
  <c r="J66" i="13"/>
  <c r="L66" i="13" s="1"/>
  <c r="M65" i="13"/>
  <c r="K65" i="13"/>
  <c r="J65" i="13"/>
  <c r="L65" i="13" s="1"/>
  <c r="M64" i="13"/>
  <c r="K64" i="13"/>
  <c r="J64" i="13"/>
  <c r="M63" i="13"/>
  <c r="K63" i="13"/>
  <c r="J63" i="13"/>
  <c r="L63" i="13" s="1"/>
  <c r="I61" i="13"/>
  <c r="H61" i="13"/>
  <c r="G61" i="13"/>
  <c r="F61" i="13"/>
  <c r="J60" i="13"/>
  <c r="K59" i="13"/>
  <c r="J59" i="13"/>
  <c r="K58" i="13"/>
  <c r="J58" i="13"/>
  <c r="K57" i="13"/>
  <c r="J57" i="13"/>
  <c r="K56" i="13"/>
  <c r="J56" i="13"/>
  <c r="K55" i="13"/>
  <c r="J55" i="13"/>
  <c r="K54" i="13"/>
  <c r="J54" i="13"/>
  <c r="K53" i="13"/>
  <c r="J53" i="13"/>
  <c r="K52" i="13"/>
  <c r="J52" i="13"/>
  <c r="K51" i="13"/>
  <c r="J51" i="13"/>
  <c r="K50" i="13"/>
  <c r="J50" i="13"/>
  <c r="K49" i="13"/>
  <c r="J49" i="13"/>
  <c r="I47" i="13"/>
  <c r="H47" i="13"/>
  <c r="G47" i="13"/>
  <c r="F47" i="13"/>
  <c r="K46" i="13"/>
  <c r="J46" i="13"/>
  <c r="K42" i="13"/>
  <c r="J42" i="13"/>
  <c r="K41" i="13"/>
  <c r="J41" i="13"/>
  <c r="K40" i="13"/>
  <c r="J40" i="13"/>
  <c r="K39" i="13"/>
  <c r="J39" i="13"/>
  <c r="K38" i="13"/>
  <c r="J38" i="13"/>
  <c r="K37" i="13"/>
  <c r="J37" i="13"/>
  <c r="I35" i="13"/>
  <c r="H35" i="13"/>
  <c r="G35" i="13"/>
  <c r="F35" i="13"/>
  <c r="K29" i="13"/>
  <c r="J29" i="13"/>
  <c r="K28" i="13"/>
  <c r="J28" i="13"/>
  <c r="K27" i="13"/>
  <c r="J27" i="13"/>
  <c r="K26" i="13"/>
  <c r="J26" i="13"/>
  <c r="K25" i="13"/>
  <c r="J25" i="13"/>
  <c r="J73" i="13" l="1"/>
  <c r="K73" i="13"/>
  <c r="L64" i="13"/>
  <c r="J61" i="13"/>
  <c r="K47" i="13"/>
  <c r="J47" i="13"/>
  <c r="J35" i="13"/>
  <c r="F23" i="13" s="1"/>
  <c r="F24" i="13" s="1"/>
  <c r="K35" i="13"/>
  <c r="G23" i="13" s="1"/>
  <c r="G24" i="13" s="1"/>
  <c r="K61" i="13"/>
  <c r="G36" i="13" l="1"/>
  <c r="K24" i="13"/>
  <c r="K36" i="13" s="1"/>
  <c r="K48" i="13" s="1"/>
  <c r="K62" i="13" s="1"/>
  <c r="F36" i="13"/>
  <c r="J24" i="13"/>
  <c r="J36" i="13" s="1"/>
  <c r="J48" i="13" s="1"/>
  <c r="J62" i="13" s="1"/>
  <c r="T83" i="13" s="1"/>
  <c r="F48" i="13" l="1"/>
  <c r="L36" i="13"/>
  <c r="H24" i="13"/>
  <c r="G48" i="13"/>
  <c r="M36" i="13"/>
  <c r="I24" i="13"/>
  <c r="H11" i="13" l="1"/>
  <c r="H36" i="13"/>
  <c r="H48" i="13" s="1"/>
  <c r="H62" i="13" s="1"/>
  <c r="G62" i="13"/>
  <c r="G77" i="13" s="1"/>
  <c r="M48" i="13"/>
  <c r="I36" i="13"/>
  <c r="I48" i="13" s="1"/>
  <c r="I62" i="13" s="1"/>
  <c r="I77" i="13" s="1"/>
  <c r="I80" i="13" s="1"/>
  <c r="I11" i="13"/>
  <c r="F62" i="13"/>
  <c r="L48" i="13"/>
  <c r="K77" i="13" l="1"/>
  <c r="L62" i="13"/>
  <c r="S83" i="13"/>
  <c r="U83" i="13" s="1"/>
  <c r="F77" i="13"/>
  <c r="S84" i="13" l="1"/>
  <c r="F80" i="13"/>
  <c r="H80" i="13" l="1"/>
  <c r="F82" i="13"/>
  <c r="F83" i="13" s="1"/>
  <c r="F85" i="13" s="1"/>
  <c r="K80" i="13" l="1"/>
  <c r="L80" i="13" s="1"/>
  <c r="AH55" i="11" l="1"/>
  <c r="AB55" i="11"/>
  <c r="AB54" i="11"/>
  <c r="V53" i="11"/>
  <c r="AJ40" i="11"/>
  <c r="AE40" i="11"/>
  <c r="Z40" i="11"/>
  <c r="V40" i="11"/>
  <c r="AC28" i="11"/>
  <c r="AF27" i="11"/>
  <c r="W27" i="11"/>
  <c r="AF26" i="11"/>
  <c r="W26" i="11"/>
  <c r="AI24" i="11"/>
  <c r="W23" i="11"/>
  <c r="AJ7" i="11"/>
  <c r="AJ6" i="11"/>
  <c r="V55" i="11"/>
  <c r="V54" i="11"/>
  <c r="AB51" i="11"/>
  <c r="AB50" i="11"/>
  <c r="Y51" i="11"/>
  <c r="Y50" i="11"/>
  <c r="D19" i="11"/>
  <c r="V51" i="11"/>
  <c r="V50" i="11"/>
  <c r="T42" i="11"/>
  <c r="T46" i="11"/>
  <c r="T37" i="11"/>
  <c r="AA34" i="11"/>
  <c r="AE34" i="11"/>
  <c r="AI32" i="11"/>
  <c r="AD32" i="11"/>
  <c r="AI31" i="11"/>
  <c r="AD31" i="11"/>
  <c r="AI30" i="11"/>
  <c r="AD30" i="11"/>
  <c r="Y31" i="11"/>
  <c r="Y30" i="11"/>
  <c r="Y33" i="11"/>
  <c r="W33" i="11"/>
  <c r="W32" i="11"/>
  <c r="W31" i="11"/>
  <c r="W30" i="11"/>
  <c r="AG28" i="11"/>
  <c r="W28" i="11"/>
  <c r="AH27" i="11"/>
  <c r="AH26" i="11"/>
  <c r="Y27" i="11"/>
  <c r="Y26" i="11"/>
  <c r="W24" i="11"/>
  <c r="AI23" i="11"/>
  <c r="AE23" i="11"/>
  <c r="AA23" i="11"/>
  <c r="AC22" i="11"/>
  <c r="AC20" i="11"/>
  <c r="AC18" i="11"/>
  <c r="Z22" i="11"/>
  <c r="W22" i="11"/>
  <c r="Z20" i="11"/>
  <c r="W20" i="11"/>
  <c r="Z18" i="11"/>
  <c r="W18" i="11"/>
  <c r="Z21" i="11"/>
  <c r="W21" i="11"/>
  <c r="Z19" i="11"/>
  <c r="W19" i="11"/>
  <c r="AC15" i="11"/>
  <c r="Z15" i="11"/>
  <c r="W15" i="11"/>
  <c r="T15" i="11"/>
  <c r="AI14" i="11"/>
  <c r="AF14" i="11"/>
  <c r="AC14" i="11"/>
  <c r="Z14" i="11"/>
  <c r="W14" i="11"/>
  <c r="T14" i="11"/>
  <c r="AF11" i="11"/>
  <c r="AB11" i="11"/>
  <c r="W12" i="11"/>
  <c r="W11" i="11"/>
  <c r="X9" i="11"/>
  <c r="Z8" i="11"/>
  <c r="AE7" i="11"/>
  <c r="AE6" i="11"/>
  <c r="Z7" i="11"/>
  <c r="Z6" i="11"/>
  <c r="V5" i="11"/>
  <c r="V4" i="11"/>
  <c r="V3" i="11"/>
  <c r="D25" i="11"/>
  <c r="N46" i="11"/>
  <c r="N44" i="11"/>
  <c r="N43" i="11"/>
  <c r="N42" i="11"/>
  <c r="N41" i="11"/>
  <c r="N40" i="11"/>
  <c r="N39" i="11"/>
  <c r="G39" i="11"/>
  <c r="G47" i="11" s="1"/>
  <c r="G48" i="11" s="1"/>
  <c r="K44" i="11"/>
  <c r="K43" i="11"/>
  <c r="K42" i="11"/>
  <c r="K41" i="11"/>
  <c r="K40" i="11"/>
  <c r="K39" i="11"/>
  <c r="D46" i="11"/>
  <c r="D45" i="11"/>
  <c r="D44" i="11"/>
  <c r="D43" i="11"/>
  <c r="D42" i="11"/>
  <c r="D41" i="11"/>
  <c r="D40" i="11"/>
  <c r="D39" i="11"/>
  <c r="M1" i="12"/>
  <c r="N1" i="12"/>
  <c r="O1" i="12"/>
  <c r="P1" i="12"/>
  <c r="C34" i="8"/>
  <c r="D34" i="8" s="1"/>
  <c r="C33" i="8"/>
  <c r="D33" i="8" s="1"/>
  <c r="N3" i="11" s="1"/>
  <c r="Z1" i="3"/>
  <c r="B1" i="8"/>
  <c r="C1" i="8"/>
  <c r="D1" i="8"/>
  <c r="E1" i="8"/>
  <c r="F1" i="8"/>
  <c r="G1" i="8"/>
  <c r="H1" i="8"/>
  <c r="I1" i="8"/>
  <c r="J1" i="8"/>
  <c r="K1" i="8"/>
  <c r="L1" i="8"/>
  <c r="M1" i="8"/>
  <c r="N1" i="8"/>
  <c r="O1" i="8"/>
  <c r="P1" i="8"/>
  <c r="Q1" i="8"/>
  <c r="A1" i="8"/>
  <c r="N6" i="11"/>
  <c r="C32" i="8"/>
  <c r="D32" i="8" s="1"/>
  <c r="I12" i="11" s="1"/>
  <c r="C31" i="8"/>
  <c r="D31" i="8" s="1"/>
  <c r="N12" i="11" s="1"/>
  <c r="C30" i="8"/>
  <c r="D30" i="8" s="1"/>
  <c r="D13" i="11" s="1"/>
  <c r="C23" i="8"/>
  <c r="D23" i="8" s="1"/>
  <c r="C29" i="8"/>
  <c r="D29" i="8" s="1"/>
  <c r="N10" i="11" s="1"/>
  <c r="C28" i="8"/>
  <c r="D28" i="8" s="1"/>
  <c r="I11" i="11" s="1"/>
  <c r="C27" i="8"/>
  <c r="D27" i="8" s="1"/>
  <c r="N11" i="11" s="1"/>
  <c r="C26" i="8"/>
  <c r="D26" i="8" s="1"/>
  <c r="L12" i="17" s="1"/>
  <c r="C25" i="8"/>
  <c r="D25" i="8" s="1"/>
  <c r="D11" i="11" s="1"/>
  <c r="C24" i="8"/>
  <c r="D24" i="8" s="1"/>
  <c r="I10" i="11" s="1"/>
  <c r="L1" i="12"/>
  <c r="K1" i="12"/>
  <c r="J1" i="12"/>
  <c r="I1" i="12"/>
  <c r="H1" i="12"/>
  <c r="G1" i="12"/>
  <c r="F1" i="12"/>
  <c r="E1" i="12"/>
  <c r="D1" i="12"/>
  <c r="C1" i="12"/>
  <c r="B1" i="12"/>
  <c r="A1" i="12"/>
  <c r="D5" i="16" l="1"/>
  <c r="L10" i="17"/>
  <c r="H75" i="14"/>
  <c r="H77" i="14" s="1"/>
  <c r="J77" i="14" s="1"/>
  <c r="C18" i="16"/>
  <c r="C6" i="16" s="1"/>
  <c r="H75" i="13"/>
  <c r="H77" i="13" s="1"/>
  <c r="J77" i="13" s="1"/>
  <c r="D12" i="11"/>
  <c r="E5" i="16"/>
  <c r="J6" i="14"/>
  <c r="J6" i="13"/>
  <c r="D10" i="11"/>
  <c r="B54" i="11"/>
  <c r="B51" i="11"/>
  <c r="G49" i="11"/>
  <c r="N16" i="11"/>
  <c r="N15" i="11"/>
  <c r="G20" i="11"/>
  <c r="D20" i="11"/>
  <c r="G19" i="11"/>
  <c r="D18" i="11"/>
  <c r="D16" i="11"/>
  <c r="D17" i="11"/>
  <c r="I17" i="11"/>
  <c r="I13" i="11"/>
  <c r="N13" i="11"/>
  <c r="I6" i="11"/>
  <c r="D6" i="11"/>
  <c r="N2" i="11"/>
  <c r="I5" i="11"/>
  <c r="D5" i="11"/>
  <c r="K9" i="11"/>
  <c r="N18" i="11"/>
  <c r="N17" i="11"/>
  <c r="N23" i="11"/>
  <c r="N22" i="11"/>
  <c r="N25" i="11"/>
  <c r="I24" i="11"/>
  <c r="D24" i="11"/>
  <c r="N29" i="11"/>
  <c r="N28" i="11"/>
  <c r="D29" i="11"/>
  <c r="D28" i="11"/>
  <c r="N27" i="11"/>
  <c r="I27" i="11"/>
  <c r="D27" i="11"/>
  <c r="J33" i="11"/>
  <c r="F33" i="11"/>
  <c r="J32" i="11"/>
  <c r="F32" i="11"/>
  <c r="J34" i="11"/>
  <c r="F34" i="11"/>
  <c r="J35" i="11"/>
  <c r="F35" i="11"/>
  <c r="S1" i="3"/>
  <c r="R1" i="3"/>
  <c r="Q1" i="3"/>
  <c r="O1" i="3"/>
  <c r="N1" i="3"/>
  <c r="L1" i="3"/>
  <c r="K1" i="3"/>
  <c r="I1" i="3"/>
  <c r="H1" i="3"/>
  <c r="F1" i="3"/>
  <c r="E1" i="3"/>
  <c r="C1" i="3"/>
  <c r="B1" i="3"/>
  <c r="A1" i="3"/>
  <c r="T84" i="13" l="1"/>
  <c r="U84" i="13" s="1"/>
  <c r="L77" i="13"/>
  <c r="T84" i="14"/>
  <c r="U84" i="14" s="1"/>
  <c r="L77" i="14"/>
  <c r="N34" i="11"/>
  <c r="N35" i="11"/>
  <c r="N32" i="11"/>
  <c r="N33" i="11"/>
  <c r="A27" i="6" l="1"/>
  <c r="B27" i="6" s="1"/>
  <c r="B24" i="6"/>
  <c r="A26" i="6"/>
  <c r="B26" i="6" s="1"/>
  <c r="A28" i="6"/>
  <c r="B28" i="6" s="1"/>
  <c r="A25" i="6"/>
  <c r="B25" i="6" s="1"/>
  <c r="B23" i="6"/>
  <c r="D16" i="6"/>
  <c r="D4" i="6"/>
  <c r="D12" i="6"/>
  <c r="D13" i="6"/>
  <c r="D14" i="6"/>
  <c r="D15" i="6"/>
  <c r="D17" i="6"/>
  <c r="D18" i="6"/>
  <c r="D19" i="6"/>
  <c r="D20" i="6"/>
  <c r="D21" i="6"/>
  <c r="D22" i="6"/>
  <c r="D23" i="6"/>
  <c r="D24" i="6"/>
  <c r="D25" i="6"/>
  <c r="D26" i="6"/>
  <c r="D27" i="6"/>
  <c r="D28" i="6"/>
  <c r="D29" i="6"/>
  <c r="D30" i="6"/>
  <c r="D31" i="6"/>
  <c r="D32" i="6"/>
  <c r="D33" i="6"/>
  <c r="D34" i="6"/>
  <c r="D35" i="6"/>
  <c r="D36" i="6"/>
  <c r="D37" i="6"/>
  <c r="D38" i="6"/>
  <c r="D39" i="6"/>
  <c r="D40" i="6"/>
  <c r="D41" i="6"/>
  <c r="D42" i="6"/>
  <c r="D43" i="6"/>
  <c r="D44" i="6"/>
  <c r="D45" i="6"/>
  <c r="D46" i="6"/>
  <c r="D47" i="6"/>
  <c r="D48" i="6"/>
  <c r="D49" i="6"/>
  <c r="D50" i="6"/>
  <c r="D51" i="6"/>
  <c r="D52" i="6"/>
  <c r="D53" i="6"/>
  <c r="D54" i="6"/>
  <c r="D55" i="6"/>
  <c r="D56" i="6"/>
  <c r="D57" i="6"/>
  <c r="D58" i="6"/>
  <c r="D59" i="6"/>
  <c r="D60" i="6"/>
  <c r="D61" i="6"/>
  <c r="D62" i="6"/>
  <c r="D63" i="6"/>
  <c r="D64" i="6"/>
  <c r="D65" i="6"/>
  <c r="D66" i="6"/>
  <c r="D67" i="6"/>
  <c r="D68" i="6"/>
  <c r="D69" i="6"/>
  <c r="D70" i="6"/>
  <c r="D71" i="6"/>
  <c r="D72" i="6"/>
  <c r="D73" i="6"/>
  <c r="D74" i="6"/>
  <c r="D75" i="6"/>
  <c r="D76" i="6"/>
  <c r="D77" i="6"/>
  <c r="D78" i="6"/>
  <c r="D79" i="6"/>
  <c r="D80" i="6"/>
  <c r="D81" i="6"/>
  <c r="D82" i="6"/>
  <c r="D83" i="6"/>
  <c r="D84" i="6"/>
  <c r="D85" i="6"/>
  <c r="D86" i="6"/>
  <c r="D87" i="6"/>
  <c r="D88" i="6"/>
  <c r="D89" i="6"/>
  <c r="D90" i="6"/>
  <c r="D91" i="6"/>
  <c r="D92" i="6"/>
  <c r="D93" i="6"/>
  <c r="D94" i="6"/>
  <c r="D95" i="6"/>
  <c r="D96" i="6"/>
  <c r="D97" i="6"/>
  <c r="D98" i="6"/>
  <c r="D99" i="6"/>
  <c r="D100" i="6"/>
  <c r="D101" i="6"/>
  <c r="D102" i="6"/>
  <c r="D103" i="6"/>
  <c r="D104" i="6"/>
  <c r="C18" i="8"/>
  <c r="C19" i="8" s="1"/>
  <c r="C15" i="8"/>
  <c r="C16" i="8" s="1"/>
  <c r="C12" i="8"/>
  <c r="C13" i="8" s="1"/>
  <c r="C4" i="8"/>
  <c r="E3" i="8" s="1" a="1"/>
  <c r="E3" i="8" s="1"/>
  <c r="C3" i="8"/>
  <c r="C7" i="8"/>
  <c r="C9" i="8"/>
  <c r="C10" i="8" s="1"/>
  <c r="F178" i="10"/>
  <c r="F177" i="10"/>
  <c r="F176" i="10"/>
  <c r="F175" i="10"/>
  <c r="F174" i="10"/>
  <c r="F173" i="10"/>
  <c r="F172" i="10"/>
  <c r="F171" i="10"/>
  <c r="F170" i="10"/>
  <c r="F169" i="10"/>
  <c r="F168" i="10"/>
  <c r="F167" i="10"/>
  <c r="F166" i="10"/>
  <c r="F165" i="10"/>
  <c r="F164" i="10"/>
  <c r="F163" i="10"/>
  <c r="F162" i="10"/>
  <c r="F161" i="10"/>
  <c r="F160" i="10"/>
  <c r="F159" i="10"/>
  <c r="F158" i="10"/>
  <c r="F157" i="10"/>
  <c r="F156" i="10"/>
  <c r="F155" i="10"/>
  <c r="F154" i="10"/>
  <c r="F153" i="10"/>
  <c r="F152" i="10"/>
  <c r="F151" i="10"/>
  <c r="F150" i="10"/>
  <c r="F149" i="10"/>
  <c r="F148" i="10"/>
  <c r="F147" i="10"/>
  <c r="F146" i="10"/>
  <c r="F145" i="10"/>
  <c r="F144" i="10"/>
  <c r="F143" i="10"/>
  <c r="F142" i="10"/>
  <c r="F141" i="10"/>
  <c r="F140" i="10"/>
  <c r="F139" i="10"/>
  <c r="F138" i="10"/>
  <c r="F137" i="10"/>
  <c r="F136" i="10"/>
  <c r="F135" i="10"/>
  <c r="F134" i="10"/>
  <c r="F133" i="10"/>
  <c r="F132" i="10"/>
  <c r="F131" i="10"/>
  <c r="F130" i="10"/>
  <c r="F129" i="10"/>
  <c r="F128" i="10"/>
  <c r="F127" i="10"/>
  <c r="F126" i="10"/>
  <c r="F125" i="10"/>
  <c r="F124" i="10"/>
  <c r="F123" i="10"/>
  <c r="F122" i="10"/>
  <c r="F121" i="10"/>
  <c r="F120" i="10"/>
  <c r="F119" i="10"/>
  <c r="F118" i="10"/>
  <c r="F117" i="10"/>
  <c r="F116" i="10"/>
  <c r="F115" i="10"/>
  <c r="F114" i="10"/>
  <c r="F112" i="10"/>
  <c r="F111" i="10"/>
  <c r="F110" i="10"/>
  <c r="F109" i="10"/>
  <c r="F108" i="10"/>
  <c r="F107" i="10"/>
  <c r="F106" i="10"/>
  <c r="F105" i="10"/>
  <c r="F104" i="10"/>
  <c r="F103" i="10"/>
  <c r="F102" i="10"/>
  <c r="F101" i="10"/>
  <c r="F100" i="10"/>
  <c r="F99" i="10"/>
  <c r="F98" i="10"/>
  <c r="F97" i="10"/>
  <c r="F96" i="10"/>
  <c r="F95" i="10"/>
  <c r="F94" i="10"/>
  <c r="F93" i="10"/>
  <c r="F92" i="10"/>
  <c r="F91" i="10"/>
  <c r="F90" i="10"/>
  <c r="F89" i="10"/>
  <c r="F88" i="10"/>
  <c r="F87" i="10"/>
  <c r="F86" i="10"/>
  <c r="F85" i="10"/>
  <c r="F84" i="10"/>
  <c r="F83" i="10"/>
  <c r="F82" i="10"/>
  <c r="F81" i="10"/>
  <c r="F80" i="10"/>
  <c r="F79" i="10"/>
  <c r="F78" i="10"/>
  <c r="F77" i="10"/>
  <c r="F76" i="10"/>
  <c r="F75" i="10"/>
  <c r="F74" i="10"/>
  <c r="F73" i="10"/>
  <c r="F72" i="10"/>
  <c r="F71" i="10"/>
  <c r="F70" i="10"/>
  <c r="F69" i="10"/>
  <c r="F68" i="10"/>
  <c r="F65" i="10"/>
  <c r="F64" i="10"/>
  <c r="F63" i="10"/>
  <c r="F62" i="10"/>
  <c r="F61" i="10"/>
  <c r="F60" i="10"/>
  <c r="F59" i="10"/>
  <c r="F58" i="10"/>
  <c r="F57" i="10"/>
  <c r="F56" i="10"/>
  <c r="F55" i="10"/>
  <c r="F54" i="10"/>
  <c r="F53" i="10"/>
  <c r="F52" i="10"/>
  <c r="F51" i="10"/>
  <c r="F50" i="10"/>
  <c r="F49" i="10"/>
  <c r="F48" i="10"/>
  <c r="F47" i="10"/>
  <c r="F46" i="10"/>
  <c r="F45" i="10"/>
  <c r="F44" i="10"/>
  <c r="F43" i="10"/>
  <c r="F42" i="10"/>
  <c r="F41" i="10"/>
  <c r="F40" i="10"/>
  <c r="F39" i="10"/>
  <c r="F38" i="10"/>
  <c r="F37" i="10"/>
  <c r="F36" i="10"/>
  <c r="F35" i="10"/>
  <c r="F34" i="10"/>
  <c r="F33" i="10"/>
  <c r="F32" i="10"/>
  <c r="F31" i="10"/>
  <c r="F30" i="10"/>
  <c r="F29" i="10"/>
  <c r="F28" i="10"/>
  <c r="F27" i="10"/>
  <c r="F26" i="10"/>
  <c r="F25" i="10"/>
  <c r="F24" i="10"/>
  <c r="F23" i="10"/>
  <c r="F22" i="10"/>
  <c r="F21" i="10"/>
  <c r="F20" i="10"/>
  <c r="F19" i="10"/>
  <c r="F18" i="10"/>
  <c r="F17" i="10"/>
  <c r="F16" i="10"/>
  <c r="F15" i="10"/>
  <c r="F14" i="10"/>
  <c r="F13" i="10"/>
  <c r="F12" i="10"/>
  <c r="F11" i="10"/>
  <c r="F10" i="10"/>
  <c r="F9" i="10"/>
  <c r="F8" i="10"/>
  <c r="F7" i="10"/>
  <c r="F6" i="10"/>
  <c r="F5" i="10"/>
  <c r="F4" i="10"/>
  <c r="F1" i="10"/>
  <c r="E1" i="10"/>
  <c r="D1" i="10"/>
  <c r="C1" i="10"/>
  <c r="B1" i="10"/>
  <c r="B4" i="5"/>
  <c r="P17" i="5"/>
  <c r="P26" i="5"/>
  <c r="P44" i="5"/>
  <c r="W33" i="5"/>
  <c r="AD28" i="5"/>
  <c r="AD33" i="5"/>
  <c r="AK56" i="5"/>
  <c r="AK52" i="5"/>
  <c r="AK47" i="5"/>
  <c r="AK33" i="5"/>
  <c r="AK23" i="5"/>
  <c r="AK16" i="5"/>
  <c r="AK57" i="5"/>
  <c r="AK53" i="5"/>
  <c r="AK48" i="5"/>
  <c r="AK34" i="5"/>
  <c r="AK24" i="5"/>
  <c r="AK17" i="5"/>
  <c r="AK9" i="5"/>
  <c r="AK8" i="5"/>
  <c r="AK4" i="5"/>
  <c r="AK3" i="5"/>
  <c r="AD59" i="5"/>
  <c r="AD58" i="5"/>
  <c r="AD57" i="5"/>
  <c r="AD56" i="5"/>
  <c r="AD55" i="5"/>
  <c r="AD54" i="5"/>
  <c r="AD53" i="5"/>
  <c r="AD52" i="5"/>
  <c r="AD51" i="5"/>
  <c r="AD50" i="5"/>
  <c r="AD49" i="5"/>
  <c r="AD34" i="5"/>
  <c r="AD25" i="5"/>
  <c r="AD20" i="5"/>
  <c r="AD14" i="5"/>
  <c r="AD4" i="5"/>
  <c r="AD3" i="5"/>
  <c r="W60" i="5"/>
  <c r="W59" i="5"/>
  <c r="W58" i="5"/>
  <c r="W57" i="5"/>
  <c r="W55" i="5"/>
  <c r="W53" i="5"/>
  <c r="W51" i="5"/>
  <c r="W49" i="5"/>
  <c r="W44" i="5"/>
  <c r="W42" i="5"/>
  <c r="W38" i="5"/>
  <c r="W34" i="5"/>
  <c r="W31" i="5"/>
  <c r="W29" i="5"/>
  <c r="W27" i="5"/>
  <c r="W25" i="5"/>
  <c r="W23" i="5"/>
  <c r="W20" i="5"/>
  <c r="W7" i="5"/>
  <c r="W4" i="5"/>
  <c r="W3" i="5"/>
  <c r="P35" i="5"/>
  <c r="P27" i="5"/>
  <c r="P24" i="5"/>
  <c r="P22" i="5"/>
  <c r="P20" i="5"/>
  <c r="P18" i="5"/>
  <c r="P15" i="5"/>
  <c r="P50" i="5"/>
  <c r="P45" i="5"/>
  <c r="P39" i="5"/>
  <c r="P6" i="5"/>
  <c r="P4" i="5"/>
  <c r="P3" i="5"/>
  <c r="I58" i="5"/>
  <c r="I57" i="5"/>
  <c r="I56" i="5"/>
  <c r="I55" i="5"/>
  <c r="I54" i="5"/>
  <c r="I53" i="5"/>
  <c r="I52" i="5"/>
  <c r="I51" i="5"/>
  <c r="I50" i="5"/>
  <c r="I49" i="5"/>
  <c r="I48" i="5"/>
  <c r="I47" i="5"/>
  <c r="I46" i="5"/>
  <c r="I45" i="5"/>
  <c r="I44" i="5"/>
  <c r="I43" i="5"/>
  <c r="I42" i="5"/>
  <c r="I41" i="5"/>
  <c r="I40" i="5"/>
  <c r="I39" i="5"/>
  <c r="I38" i="5"/>
  <c r="I37" i="5"/>
  <c r="I36" i="5"/>
  <c r="I35" i="5"/>
  <c r="I34" i="5"/>
  <c r="I33" i="5"/>
  <c r="I30" i="5"/>
  <c r="I29" i="5"/>
  <c r="I26" i="5"/>
  <c r="I22" i="5"/>
  <c r="I19" i="5"/>
  <c r="I18" i="5"/>
  <c r="I11" i="5"/>
  <c r="I4" i="5"/>
  <c r="I3" i="5"/>
  <c r="D5" i="10"/>
  <c r="D6" i="10"/>
  <c r="D7" i="10"/>
  <c r="D8" i="10"/>
  <c r="D9" i="10"/>
  <c r="D10" i="10"/>
  <c r="D11" i="10"/>
  <c r="D12" i="10"/>
  <c r="D13" i="10"/>
  <c r="D14" i="10"/>
  <c r="D15" i="10"/>
  <c r="D16" i="10"/>
  <c r="D17" i="10"/>
  <c r="D18" i="10"/>
  <c r="D19" i="10"/>
  <c r="D20" i="10"/>
  <c r="D21" i="10"/>
  <c r="D22" i="10"/>
  <c r="D23" i="10"/>
  <c r="D24" i="10"/>
  <c r="D25" i="10"/>
  <c r="D26" i="10"/>
  <c r="D27" i="10"/>
  <c r="D28" i="10"/>
  <c r="D29" i="10"/>
  <c r="D30" i="10"/>
  <c r="D31" i="10"/>
  <c r="D32" i="10"/>
  <c r="D33" i="10"/>
  <c r="D34" i="10"/>
  <c r="D35" i="10"/>
  <c r="D36" i="10"/>
  <c r="D37" i="10"/>
  <c r="D38" i="10"/>
  <c r="D39" i="10"/>
  <c r="D40" i="10"/>
  <c r="D41" i="10"/>
  <c r="D42" i="10"/>
  <c r="D43" i="10"/>
  <c r="D44" i="10"/>
  <c r="D45" i="10"/>
  <c r="D46" i="10"/>
  <c r="D47" i="10"/>
  <c r="D48" i="10"/>
  <c r="D49" i="10"/>
  <c r="D50" i="10"/>
  <c r="D51" i="10"/>
  <c r="D52" i="10"/>
  <c r="D53" i="10"/>
  <c r="D54" i="10"/>
  <c r="D55" i="10"/>
  <c r="D56" i="10"/>
  <c r="D57" i="10"/>
  <c r="D58" i="10"/>
  <c r="D59" i="10"/>
  <c r="D60" i="10"/>
  <c r="D61" i="10"/>
  <c r="D62" i="10"/>
  <c r="D63" i="10"/>
  <c r="D64" i="10"/>
  <c r="D65" i="10"/>
  <c r="D69" i="10"/>
  <c r="D70" i="10"/>
  <c r="D71" i="10"/>
  <c r="D72" i="10"/>
  <c r="D73" i="10"/>
  <c r="D74" i="10"/>
  <c r="D75" i="10"/>
  <c r="D76" i="10"/>
  <c r="D77" i="10"/>
  <c r="D78" i="10"/>
  <c r="D79" i="10"/>
  <c r="D80" i="10"/>
  <c r="D81" i="10"/>
  <c r="D82" i="10"/>
  <c r="D83" i="10"/>
  <c r="D84" i="10"/>
  <c r="D85" i="10"/>
  <c r="D86" i="10"/>
  <c r="D87" i="10"/>
  <c r="D88" i="10"/>
  <c r="D89" i="10"/>
  <c r="D90" i="10"/>
  <c r="D91" i="10"/>
  <c r="D92" i="10"/>
  <c r="D93" i="10"/>
  <c r="D94" i="10"/>
  <c r="D95" i="10"/>
  <c r="D96" i="10"/>
  <c r="D97" i="10"/>
  <c r="D98" i="10"/>
  <c r="D99" i="10"/>
  <c r="D100" i="10"/>
  <c r="D101" i="10"/>
  <c r="D102" i="10"/>
  <c r="D103" i="10"/>
  <c r="D104" i="10"/>
  <c r="D105" i="10"/>
  <c r="D106" i="10"/>
  <c r="D107" i="10"/>
  <c r="D108" i="10"/>
  <c r="D109" i="10"/>
  <c r="D110" i="10"/>
  <c r="D111" i="10"/>
  <c r="D112" i="10"/>
  <c r="D114" i="10"/>
  <c r="D115" i="10"/>
  <c r="D116" i="10"/>
  <c r="D117" i="10"/>
  <c r="D118" i="10"/>
  <c r="D119" i="10"/>
  <c r="D120" i="10"/>
  <c r="D121" i="10"/>
  <c r="D122" i="10"/>
  <c r="D123" i="10"/>
  <c r="D124" i="10"/>
  <c r="D125" i="10"/>
  <c r="D126" i="10"/>
  <c r="D127" i="10"/>
  <c r="D128" i="10"/>
  <c r="D129" i="10"/>
  <c r="D130" i="10"/>
  <c r="D131" i="10"/>
  <c r="D132" i="10"/>
  <c r="D133" i="10"/>
  <c r="D134" i="10"/>
  <c r="D135" i="10"/>
  <c r="D136" i="10"/>
  <c r="D137" i="10"/>
  <c r="D138" i="10"/>
  <c r="D139" i="10"/>
  <c r="D140" i="10"/>
  <c r="D141" i="10"/>
  <c r="D142" i="10"/>
  <c r="D143" i="10"/>
  <c r="D144" i="10"/>
  <c r="D145" i="10"/>
  <c r="D146" i="10"/>
  <c r="D147" i="10"/>
  <c r="D148" i="10"/>
  <c r="D149" i="10"/>
  <c r="D150" i="10"/>
  <c r="D151" i="10"/>
  <c r="D152" i="10"/>
  <c r="D153" i="10"/>
  <c r="D154" i="10"/>
  <c r="D155" i="10"/>
  <c r="D156" i="10"/>
  <c r="D157" i="10"/>
  <c r="D158" i="10"/>
  <c r="D159" i="10"/>
  <c r="D160" i="10"/>
  <c r="D161" i="10"/>
  <c r="D162" i="10"/>
  <c r="D163" i="10"/>
  <c r="D164" i="10"/>
  <c r="D165" i="10"/>
  <c r="D166" i="10"/>
  <c r="D167" i="10"/>
  <c r="D168" i="10"/>
  <c r="D169" i="10"/>
  <c r="D170" i="10"/>
  <c r="D171" i="10"/>
  <c r="D172" i="10"/>
  <c r="D173" i="10"/>
  <c r="D174" i="10"/>
  <c r="D175" i="10"/>
  <c r="D176" i="10"/>
  <c r="D177" i="10"/>
  <c r="D178" i="10"/>
  <c r="D4" i="10"/>
  <c r="H5" i="5"/>
  <c r="AJ58" i="5"/>
  <c r="AJ57" i="5"/>
  <c r="AJ56" i="5"/>
  <c r="AJ55" i="5"/>
  <c r="AJ54" i="5"/>
  <c r="AJ53" i="5"/>
  <c r="AJ52" i="5"/>
  <c r="AJ51" i="5"/>
  <c r="AJ50" i="5"/>
  <c r="AJ49" i="5"/>
  <c r="AJ48" i="5"/>
  <c r="AJ47" i="5"/>
  <c r="AJ46" i="5"/>
  <c r="AJ45" i="5"/>
  <c r="AJ44" i="5"/>
  <c r="AJ43" i="5"/>
  <c r="AJ42" i="5"/>
  <c r="AJ41" i="5"/>
  <c r="AJ40" i="5"/>
  <c r="AJ39" i="5"/>
  <c r="AJ38" i="5"/>
  <c r="AJ37" i="5"/>
  <c r="AJ36" i="5"/>
  <c r="AJ35" i="5"/>
  <c r="AJ34" i="5"/>
  <c r="AJ33" i="5"/>
  <c r="AJ32" i="5"/>
  <c r="AJ31" i="5"/>
  <c r="AJ30" i="5"/>
  <c r="AJ29" i="5"/>
  <c r="AJ28" i="5"/>
  <c r="AJ27" i="5"/>
  <c r="AJ26" i="5"/>
  <c r="AJ25" i="5"/>
  <c r="AJ24" i="5"/>
  <c r="AJ23" i="5"/>
  <c r="AJ22" i="5"/>
  <c r="AJ21" i="5"/>
  <c r="AJ20" i="5"/>
  <c r="AJ19" i="5"/>
  <c r="AJ18" i="5"/>
  <c r="AJ17" i="5"/>
  <c r="AJ16" i="5"/>
  <c r="AJ15" i="5"/>
  <c r="AJ14" i="5"/>
  <c r="AJ13" i="5"/>
  <c r="AJ12" i="5"/>
  <c r="AJ11" i="5"/>
  <c r="AJ10" i="5"/>
  <c r="AJ9" i="5"/>
  <c r="AJ8" i="5"/>
  <c r="AJ7" i="5"/>
  <c r="AJ6" i="5"/>
  <c r="AJ5" i="5"/>
  <c r="AJ4" i="5"/>
  <c r="AJ3" i="5"/>
  <c r="AC59" i="5"/>
  <c r="AC58" i="5"/>
  <c r="AC57" i="5"/>
  <c r="AC56" i="5"/>
  <c r="AC55" i="5"/>
  <c r="AC54" i="5"/>
  <c r="AC53" i="5"/>
  <c r="AC52" i="5"/>
  <c r="AC51" i="5"/>
  <c r="AC50" i="5"/>
  <c r="AC49" i="5"/>
  <c r="AC48" i="5"/>
  <c r="AC47" i="5"/>
  <c r="AC46" i="5"/>
  <c r="AC45" i="5"/>
  <c r="AC44" i="5"/>
  <c r="AC43" i="5"/>
  <c r="AC42" i="5"/>
  <c r="AC41" i="5"/>
  <c r="AC40" i="5"/>
  <c r="AC39" i="5"/>
  <c r="AC38" i="5"/>
  <c r="AC37" i="5"/>
  <c r="AC36" i="5"/>
  <c r="AC35" i="5"/>
  <c r="AC34" i="5"/>
  <c r="AC33" i="5"/>
  <c r="AC32" i="5"/>
  <c r="AC31" i="5"/>
  <c r="AC30" i="5"/>
  <c r="AC29" i="5"/>
  <c r="AC28" i="5"/>
  <c r="AC27" i="5"/>
  <c r="AC26" i="5"/>
  <c r="AC25" i="5"/>
  <c r="AC24" i="5"/>
  <c r="AC23" i="5"/>
  <c r="AC22" i="5"/>
  <c r="AC21" i="5"/>
  <c r="AC20" i="5"/>
  <c r="AC19" i="5"/>
  <c r="AC18" i="5"/>
  <c r="AC17" i="5"/>
  <c r="AC16" i="5"/>
  <c r="AC15" i="5"/>
  <c r="AC14" i="5"/>
  <c r="AC13" i="5"/>
  <c r="AC12" i="5"/>
  <c r="AC11" i="5"/>
  <c r="AC10" i="5"/>
  <c r="AC8" i="5"/>
  <c r="AC7" i="5"/>
  <c r="AC6" i="5"/>
  <c r="AC5" i="5"/>
  <c r="AC4" i="5"/>
  <c r="AC3" i="5"/>
  <c r="V60" i="5"/>
  <c r="V59" i="5"/>
  <c r="V58" i="5"/>
  <c r="V57" i="5"/>
  <c r="V56" i="5"/>
  <c r="V55" i="5"/>
  <c r="V54" i="5"/>
  <c r="V53" i="5"/>
  <c r="V52" i="5"/>
  <c r="V51" i="5"/>
  <c r="V50" i="5"/>
  <c r="V49" i="5"/>
  <c r="V48" i="5"/>
  <c r="V47" i="5"/>
  <c r="V46" i="5"/>
  <c r="V45" i="5"/>
  <c r="V44" i="5"/>
  <c r="V43" i="5"/>
  <c r="V42" i="5"/>
  <c r="V41" i="5"/>
  <c r="V40" i="5"/>
  <c r="V39" i="5"/>
  <c r="V38" i="5"/>
  <c r="V37" i="5"/>
  <c r="V36" i="5"/>
  <c r="V35" i="5"/>
  <c r="V34" i="5"/>
  <c r="V33" i="5"/>
  <c r="V32" i="5"/>
  <c r="V31" i="5"/>
  <c r="V30" i="5"/>
  <c r="V29" i="5"/>
  <c r="V28" i="5"/>
  <c r="V27" i="5"/>
  <c r="V26" i="5"/>
  <c r="V25" i="5"/>
  <c r="V24" i="5"/>
  <c r="V23" i="5"/>
  <c r="V22" i="5"/>
  <c r="V21" i="5"/>
  <c r="V20" i="5"/>
  <c r="V19" i="5"/>
  <c r="V18" i="5"/>
  <c r="V17" i="5"/>
  <c r="V16" i="5"/>
  <c r="V15" i="5"/>
  <c r="V14" i="5"/>
  <c r="V11" i="5"/>
  <c r="V10" i="5"/>
  <c r="V9" i="5"/>
  <c r="V8" i="5"/>
  <c r="V7" i="5"/>
  <c r="V6" i="5"/>
  <c r="V5" i="5"/>
  <c r="V4" i="5"/>
  <c r="V3" i="5"/>
  <c r="O13" i="5"/>
  <c r="O58" i="5"/>
  <c r="O57" i="5"/>
  <c r="O56" i="5"/>
  <c r="O55" i="5"/>
  <c r="O54" i="5"/>
  <c r="O53" i="5"/>
  <c r="O52" i="5"/>
  <c r="O51" i="5"/>
  <c r="O50" i="5"/>
  <c r="O49" i="5"/>
  <c r="O48" i="5"/>
  <c r="O47" i="5"/>
  <c r="O46" i="5"/>
  <c r="O45" i="5"/>
  <c r="O44" i="5"/>
  <c r="O43" i="5"/>
  <c r="O42" i="5"/>
  <c r="O41" i="5"/>
  <c r="O40" i="5"/>
  <c r="O39" i="5"/>
  <c r="O38" i="5"/>
  <c r="O37" i="5"/>
  <c r="O36" i="5"/>
  <c r="O35" i="5"/>
  <c r="O34" i="5"/>
  <c r="O33" i="5"/>
  <c r="O32" i="5"/>
  <c r="O31" i="5"/>
  <c r="O30" i="5"/>
  <c r="O29" i="5"/>
  <c r="O28" i="5"/>
  <c r="O27" i="5"/>
  <c r="O26" i="5"/>
  <c r="O25" i="5"/>
  <c r="O24" i="5"/>
  <c r="O23" i="5"/>
  <c r="O22" i="5"/>
  <c r="O21" i="5"/>
  <c r="O20" i="5"/>
  <c r="O19" i="5"/>
  <c r="O18" i="5"/>
  <c r="O17" i="5"/>
  <c r="O16" i="5"/>
  <c r="O15" i="5"/>
  <c r="O14" i="5"/>
  <c r="O12" i="5"/>
  <c r="O11" i="5"/>
  <c r="O10" i="5"/>
  <c r="O9" i="5"/>
  <c r="O8" i="5"/>
  <c r="O7" i="5"/>
  <c r="O6" i="5"/>
  <c r="O5" i="5"/>
  <c r="O4" i="5"/>
  <c r="O3" i="5"/>
  <c r="H58" i="5"/>
  <c r="H57" i="5"/>
  <c r="H56" i="5"/>
  <c r="H55" i="5"/>
  <c r="H54" i="5"/>
  <c r="H53" i="5"/>
  <c r="H52" i="5"/>
  <c r="H51" i="5"/>
  <c r="H50" i="5"/>
  <c r="H49" i="5"/>
  <c r="H48" i="5"/>
  <c r="H47" i="5"/>
  <c r="H46" i="5"/>
  <c r="H45" i="5"/>
  <c r="H44" i="5"/>
  <c r="H43" i="5"/>
  <c r="H42" i="5"/>
  <c r="H41" i="5"/>
  <c r="H40" i="5"/>
  <c r="H39" i="5"/>
  <c r="H38" i="5"/>
  <c r="H37" i="5"/>
  <c r="H36" i="5"/>
  <c r="H35" i="5"/>
  <c r="H34" i="5"/>
  <c r="H33" i="5"/>
  <c r="H32" i="5"/>
  <c r="H31" i="5"/>
  <c r="H30" i="5"/>
  <c r="H29" i="5"/>
  <c r="H28" i="5"/>
  <c r="H27" i="5"/>
  <c r="H26" i="5"/>
  <c r="H25" i="5"/>
  <c r="H24" i="5"/>
  <c r="H23" i="5"/>
  <c r="H22" i="5"/>
  <c r="H21" i="5"/>
  <c r="H20" i="5"/>
  <c r="H19" i="5"/>
  <c r="H18" i="5"/>
  <c r="H17" i="5"/>
  <c r="H16" i="5"/>
  <c r="H15" i="5"/>
  <c r="H14" i="5"/>
  <c r="H13" i="5"/>
  <c r="H12" i="5"/>
  <c r="H11" i="5"/>
  <c r="H10" i="5"/>
  <c r="H9" i="5"/>
  <c r="H8" i="5"/>
  <c r="H7" i="5"/>
  <c r="H6" i="5"/>
  <c r="H4" i="5"/>
  <c r="H3" i="5"/>
  <c r="AG58" i="5"/>
  <c r="A178" i="10" s="1"/>
  <c r="AG57" i="5"/>
  <c r="AG56" i="5"/>
  <c r="AG55" i="5"/>
  <c r="A177" i="10" s="1"/>
  <c r="AG54" i="5"/>
  <c r="A176" i="10" s="1"/>
  <c r="AG53" i="5"/>
  <c r="AG52" i="5"/>
  <c r="AG51" i="5"/>
  <c r="A175" i="10" s="1"/>
  <c r="AG50" i="5"/>
  <c r="A174" i="10" s="1"/>
  <c r="AG49" i="5"/>
  <c r="A173" i="10" s="1"/>
  <c r="AG48" i="5"/>
  <c r="AG47" i="5"/>
  <c r="AG46" i="5"/>
  <c r="A172" i="10" s="1"/>
  <c r="AG45" i="5"/>
  <c r="A152" i="10" s="1"/>
  <c r="AG44" i="5"/>
  <c r="A171" i="10" s="1"/>
  <c r="AG43" i="5"/>
  <c r="A170" i="10" s="1"/>
  <c r="AG42" i="5"/>
  <c r="A169" i="10" s="1"/>
  <c r="AG41" i="5"/>
  <c r="A168" i="10" s="1"/>
  <c r="AG40" i="5"/>
  <c r="A167" i="10" s="1"/>
  <c r="AG39" i="5"/>
  <c r="A166" i="10" s="1"/>
  <c r="AG38" i="5"/>
  <c r="A165" i="10" s="1"/>
  <c r="AG37" i="5"/>
  <c r="A164" i="10" s="1"/>
  <c r="AG36" i="5"/>
  <c r="A163" i="10" s="1"/>
  <c r="AG35" i="5"/>
  <c r="A162" i="10" s="1"/>
  <c r="AG34" i="5"/>
  <c r="AG33" i="5"/>
  <c r="AG32" i="5"/>
  <c r="A154" i="10" s="1"/>
  <c r="AG31" i="5"/>
  <c r="A153" i="10" s="1"/>
  <c r="AG30" i="5"/>
  <c r="A151" i="10" s="1"/>
  <c r="AG29" i="5"/>
  <c r="A150" i="10" s="1"/>
  <c r="AG28" i="5"/>
  <c r="A149" i="10" s="1"/>
  <c r="AG27" i="5"/>
  <c r="A148" i="10" s="1"/>
  <c r="AG26" i="5"/>
  <c r="A147" i="10" s="1"/>
  <c r="AG25" i="5"/>
  <c r="A146" i="10" s="1"/>
  <c r="AG24" i="5"/>
  <c r="AG23" i="5"/>
  <c r="AG22" i="5"/>
  <c r="A160" i="10" s="1"/>
  <c r="AG21" i="5"/>
  <c r="A159" i="10" s="1"/>
  <c r="AG20" i="5"/>
  <c r="A158" i="10" s="1"/>
  <c r="AG19" i="5"/>
  <c r="A157" i="10" s="1"/>
  <c r="AG18" i="5"/>
  <c r="A156" i="10" s="1"/>
  <c r="AG17" i="5"/>
  <c r="AG16" i="5"/>
  <c r="AG15" i="5"/>
  <c r="A142" i="10" s="1"/>
  <c r="AG14" i="5"/>
  <c r="A141" i="10" s="1"/>
  <c r="AG13" i="5"/>
  <c r="A140" i="10" s="1"/>
  <c r="AG12" i="5"/>
  <c r="A139" i="10" s="1"/>
  <c r="AG11" i="5"/>
  <c r="A138" i="10" s="1"/>
  <c r="AG10" i="5"/>
  <c r="A137" i="10" s="1"/>
  <c r="AG9" i="5"/>
  <c r="AG8" i="5"/>
  <c r="AG7" i="5"/>
  <c r="A136" i="10" s="1"/>
  <c r="AG6" i="5"/>
  <c r="A135" i="10" s="1"/>
  <c r="AG5" i="5"/>
  <c r="A134" i="10" s="1"/>
  <c r="AG4" i="5"/>
  <c r="AG3" i="5"/>
  <c r="Z59" i="5"/>
  <c r="Z58" i="5"/>
  <c r="Z57" i="5"/>
  <c r="Z56" i="5"/>
  <c r="Z55" i="5"/>
  <c r="Z54" i="5"/>
  <c r="Z53" i="5"/>
  <c r="Z52" i="5"/>
  <c r="Z51" i="5"/>
  <c r="Z50" i="5"/>
  <c r="Z49" i="5"/>
  <c r="Z48" i="5"/>
  <c r="A133" i="10" s="1"/>
  <c r="Z47" i="5"/>
  <c r="A132" i="10" s="1"/>
  <c r="Z46" i="5"/>
  <c r="A131" i="10" s="1"/>
  <c r="Z45" i="5"/>
  <c r="A130" i="10" s="1"/>
  <c r="Z44" i="5"/>
  <c r="A129" i="10" s="1"/>
  <c r="Z43" i="5"/>
  <c r="A128" i="10" s="1"/>
  <c r="Z42" i="5"/>
  <c r="A127" i="10" s="1"/>
  <c r="Z41" i="5"/>
  <c r="A126" i="10" s="1"/>
  <c r="Z40" i="5"/>
  <c r="A125" i="10" s="1"/>
  <c r="Z39" i="5"/>
  <c r="A124" i="10" s="1"/>
  <c r="Z38" i="5"/>
  <c r="A123" i="10" s="1"/>
  <c r="Z37" i="5"/>
  <c r="A122" i="10" s="1"/>
  <c r="Z36" i="5"/>
  <c r="A121" i="10" s="1"/>
  <c r="Z35" i="5"/>
  <c r="A120" i="10" s="1"/>
  <c r="Z34" i="5"/>
  <c r="Z33" i="5"/>
  <c r="Z32" i="5"/>
  <c r="A119" i="10" s="1"/>
  <c r="Z31" i="5"/>
  <c r="A118" i="10" s="1"/>
  <c r="Z30" i="5"/>
  <c r="A117" i="10" s="1"/>
  <c r="Z29" i="5"/>
  <c r="A116" i="10" s="1"/>
  <c r="Z28" i="5"/>
  <c r="Z27" i="5"/>
  <c r="A115" i="10" s="1"/>
  <c r="Z26" i="5"/>
  <c r="A114" i="10" s="1"/>
  <c r="Z25" i="5"/>
  <c r="Z24" i="5"/>
  <c r="A112" i="10" s="1"/>
  <c r="Z23" i="5"/>
  <c r="A111" i="10" s="1"/>
  <c r="Z22" i="5"/>
  <c r="A110" i="10" s="1"/>
  <c r="Z21" i="5"/>
  <c r="A109" i="10" s="1"/>
  <c r="Z20" i="5"/>
  <c r="Z19" i="5"/>
  <c r="A108" i="10" s="1"/>
  <c r="Z18" i="5"/>
  <c r="A107" i="10" s="1"/>
  <c r="Z17" i="5"/>
  <c r="A106" i="10" s="1"/>
  <c r="Z16" i="5"/>
  <c r="A105" i="10" s="1"/>
  <c r="Z15" i="5"/>
  <c r="A104" i="10" s="1"/>
  <c r="Z14" i="5"/>
  <c r="Z13" i="5"/>
  <c r="A103" i="10" s="1"/>
  <c r="Z12" i="5"/>
  <c r="A102" i="10" s="1"/>
  <c r="Z11" i="5"/>
  <c r="A101" i="10" s="1"/>
  <c r="Z10" i="5"/>
  <c r="A100" i="10" s="1"/>
  <c r="Z8" i="5"/>
  <c r="A99" i="10" s="1"/>
  <c r="Z7" i="5"/>
  <c r="A98" i="10" s="1"/>
  <c r="Z6" i="5"/>
  <c r="A97" i="10" s="1"/>
  <c r="Z5" i="5"/>
  <c r="A96" i="10" s="1"/>
  <c r="Z4" i="5"/>
  <c r="Z3" i="5"/>
  <c r="S60" i="5"/>
  <c r="S59" i="5"/>
  <c r="S58" i="5"/>
  <c r="S57" i="5"/>
  <c r="S56" i="5"/>
  <c r="A95" i="10" s="1"/>
  <c r="S55" i="5"/>
  <c r="S54" i="5"/>
  <c r="A94" i="10" s="1"/>
  <c r="S53" i="5"/>
  <c r="S52" i="5"/>
  <c r="A93" i="10" s="1"/>
  <c r="S51" i="5"/>
  <c r="S50" i="5"/>
  <c r="A92" i="10" s="1"/>
  <c r="S49" i="5"/>
  <c r="S48" i="5"/>
  <c r="A91" i="10" s="1"/>
  <c r="S47" i="5"/>
  <c r="A90" i="10" s="1"/>
  <c r="S46" i="5"/>
  <c r="A89" i="10" s="1"/>
  <c r="S45" i="5"/>
  <c r="A88" i="10" s="1"/>
  <c r="S44" i="5"/>
  <c r="S43" i="5"/>
  <c r="A87" i="10" s="1"/>
  <c r="S42" i="5"/>
  <c r="S41" i="5"/>
  <c r="A86" i="10" s="1"/>
  <c r="S40" i="5"/>
  <c r="A85" i="10" s="1"/>
  <c r="S39" i="5"/>
  <c r="A84" i="10" s="1"/>
  <c r="S38" i="5"/>
  <c r="S37" i="5"/>
  <c r="A83" i="10" s="1"/>
  <c r="S36" i="5"/>
  <c r="A82" i="10" s="1"/>
  <c r="S35" i="5"/>
  <c r="A81" i="10" s="1"/>
  <c r="S34" i="5"/>
  <c r="S33" i="5"/>
  <c r="S32" i="5"/>
  <c r="A80" i="10" s="1"/>
  <c r="S31" i="5"/>
  <c r="S30" i="5"/>
  <c r="A79" i="10" s="1"/>
  <c r="S29" i="5"/>
  <c r="S28" i="5"/>
  <c r="A78" i="10" s="1"/>
  <c r="S27" i="5"/>
  <c r="S26" i="5"/>
  <c r="A77" i="10" s="1"/>
  <c r="S25" i="5"/>
  <c r="S24" i="5"/>
  <c r="A76" i="10" s="1"/>
  <c r="S23" i="5"/>
  <c r="S22" i="5"/>
  <c r="A75" i="10" s="1"/>
  <c r="S21" i="5"/>
  <c r="A74" i="10" s="1"/>
  <c r="S20" i="5"/>
  <c r="S19" i="5"/>
  <c r="A73" i="10" s="1"/>
  <c r="S18" i="5"/>
  <c r="A72" i="10" s="1"/>
  <c r="S17" i="5"/>
  <c r="A71" i="10" s="1"/>
  <c r="S16" i="5"/>
  <c r="A70" i="10" s="1"/>
  <c r="S15" i="5"/>
  <c r="A69" i="10" s="1"/>
  <c r="A68" i="10"/>
  <c r="S11" i="5"/>
  <c r="A65" i="10" s="1"/>
  <c r="S10" i="5"/>
  <c r="A64" i="10" s="1"/>
  <c r="S9" i="5"/>
  <c r="A63" i="10" s="1"/>
  <c r="S8" i="5"/>
  <c r="A62" i="10" s="1"/>
  <c r="S7" i="5"/>
  <c r="S6" i="5"/>
  <c r="A61" i="10" s="1"/>
  <c r="S5" i="5"/>
  <c r="A60" i="10" s="1"/>
  <c r="S4" i="5"/>
  <c r="S3" i="5"/>
  <c r="L58" i="5"/>
  <c r="A59" i="10" s="1"/>
  <c r="L57" i="5"/>
  <c r="A58" i="10" s="1"/>
  <c r="L56" i="5"/>
  <c r="A57" i="10" s="1"/>
  <c r="L55" i="5"/>
  <c r="A56" i="10" s="1"/>
  <c r="L54" i="5"/>
  <c r="A55" i="10" s="1"/>
  <c r="L53" i="5"/>
  <c r="A54" i="10" s="1"/>
  <c r="L52" i="5"/>
  <c r="A53" i="10" s="1"/>
  <c r="L51" i="5"/>
  <c r="A52" i="10" s="1"/>
  <c r="L50" i="5"/>
  <c r="L49" i="5"/>
  <c r="A51" i="10" s="1"/>
  <c r="L48" i="5"/>
  <c r="A50" i="10" s="1"/>
  <c r="L47" i="5"/>
  <c r="A49" i="10" s="1"/>
  <c r="L46" i="5"/>
  <c r="A48" i="10" s="1"/>
  <c r="L45" i="5"/>
  <c r="L44" i="5"/>
  <c r="L43" i="5"/>
  <c r="A47" i="10" s="1"/>
  <c r="L42" i="5"/>
  <c r="A46" i="10" s="1"/>
  <c r="L41" i="5"/>
  <c r="A45" i="10" s="1"/>
  <c r="L40" i="5"/>
  <c r="A44" i="10" s="1"/>
  <c r="L39" i="5"/>
  <c r="L38" i="5"/>
  <c r="A43" i="10" s="1"/>
  <c r="L37" i="5"/>
  <c r="A42" i="10" s="1"/>
  <c r="L36" i="5"/>
  <c r="A41" i="10" s="1"/>
  <c r="L35" i="5"/>
  <c r="L34" i="5"/>
  <c r="A40" i="10" s="1"/>
  <c r="L33" i="5"/>
  <c r="A39" i="10" s="1"/>
  <c r="L32" i="5"/>
  <c r="A38" i="10" s="1"/>
  <c r="L31" i="5"/>
  <c r="A37" i="10" s="1"/>
  <c r="L30" i="5"/>
  <c r="A36" i="10" s="1"/>
  <c r="L29" i="5"/>
  <c r="A35" i="10" s="1"/>
  <c r="L28" i="5"/>
  <c r="A34" i="10" s="1"/>
  <c r="L27" i="5"/>
  <c r="L26" i="5"/>
  <c r="L25" i="5"/>
  <c r="A33" i="10" s="1"/>
  <c r="L24" i="5"/>
  <c r="L23" i="5"/>
  <c r="A32" i="10" s="1"/>
  <c r="L22" i="5"/>
  <c r="L21" i="5"/>
  <c r="A31" i="10" s="1"/>
  <c r="L20" i="5"/>
  <c r="L19" i="5"/>
  <c r="A30" i="10" s="1"/>
  <c r="L18" i="5"/>
  <c r="L17" i="5"/>
  <c r="L16" i="5"/>
  <c r="A29" i="10" s="1"/>
  <c r="L15" i="5"/>
  <c r="L14" i="5"/>
  <c r="A28" i="10" s="1"/>
  <c r="L13" i="5"/>
  <c r="A27" i="10" s="1"/>
  <c r="L12" i="5"/>
  <c r="A26" i="10" s="1"/>
  <c r="L11" i="5"/>
  <c r="A25" i="10" s="1"/>
  <c r="L10" i="5"/>
  <c r="A24" i="10" s="1"/>
  <c r="L9" i="5"/>
  <c r="A23" i="10" s="1"/>
  <c r="L8" i="5"/>
  <c r="A22" i="10" s="1"/>
  <c r="L7" i="5"/>
  <c r="A21" i="10" s="1"/>
  <c r="L6" i="5"/>
  <c r="L5" i="5"/>
  <c r="A20" i="10" s="1"/>
  <c r="L4" i="5"/>
  <c r="L3" i="5"/>
  <c r="E58" i="5"/>
  <c r="E57" i="5"/>
  <c r="E56" i="5"/>
  <c r="E55" i="5"/>
  <c r="E54" i="5"/>
  <c r="E53" i="5"/>
  <c r="E52" i="5"/>
  <c r="E51" i="5"/>
  <c r="E50" i="5"/>
  <c r="E49" i="5"/>
  <c r="E48" i="5"/>
  <c r="E47" i="5"/>
  <c r="E46" i="5"/>
  <c r="E45" i="5"/>
  <c r="E44" i="5"/>
  <c r="E43" i="5"/>
  <c r="E42" i="5"/>
  <c r="E41" i="5"/>
  <c r="E40" i="5"/>
  <c r="E39" i="5"/>
  <c r="E38" i="5"/>
  <c r="E37" i="5"/>
  <c r="E36" i="5"/>
  <c r="E35" i="5"/>
  <c r="E34" i="5"/>
  <c r="E33" i="5"/>
  <c r="E32" i="5"/>
  <c r="A19" i="10" s="1"/>
  <c r="E31" i="5"/>
  <c r="A18" i="10" s="1"/>
  <c r="E30" i="5"/>
  <c r="E29" i="5"/>
  <c r="E28" i="5"/>
  <c r="A17" i="10" s="1"/>
  <c r="E27" i="5"/>
  <c r="A16" i="10" s="1"/>
  <c r="E26" i="5"/>
  <c r="E25" i="5"/>
  <c r="A145" i="10" s="1"/>
  <c r="E24" i="5"/>
  <c r="A144" i="10" s="1"/>
  <c r="E23" i="5"/>
  <c r="A143" i="10" s="1"/>
  <c r="E22" i="5"/>
  <c r="E21" i="5"/>
  <c r="A161" i="10" s="1"/>
  <c r="E20" i="5"/>
  <c r="A155" i="10" s="1"/>
  <c r="E19" i="5"/>
  <c r="E18" i="5"/>
  <c r="E17" i="5"/>
  <c r="A15" i="10" s="1"/>
  <c r="E16" i="5"/>
  <c r="A14" i="10" s="1"/>
  <c r="E15" i="5"/>
  <c r="A13" i="10" s="1"/>
  <c r="E14" i="5"/>
  <c r="A12" i="10" s="1"/>
  <c r="E13" i="5"/>
  <c r="A11" i="10" s="1"/>
  <c r="E12" i="5"/>
  <c r="A10" i="10" s="1"/>
  <c r="E11" i="5"/>
  <c r="E10" i="5"/>
  <c r="A9" i="10" s="1"/>
  <c r="E9" i="5"/>
  <c r="A8" i="10" s="1"/>
  <c r="E8" i="5"/>
  <c r="A7" i="10" s="1"/>
  <c r="E7" i="5"/>
  <c r="A6" i="10" s="1"/>
  <c r="E6" i="5"/>
  <c r="A5" i="10" s="1"/>
  <c r="E5" i="5"/>
  <c r="A4" i="10" s="1"/>
  <c r="E4" i="5"/>
  <c r="E3" i="5"/>
  <c r="MV1" i="10"/>
  <c r="MU1" i="10"/>
  <c r="MT1" i="10"/>
  <c r="MS1" i="10"/>
  <c r="MR1" i="10"/>
  <c r="MQ1" i="10"/>
  <c r="MP1" i="10"/>
  <c r="MO1" i="10"/>
  <c r="MN1" i="10"/>
  <c r="MM1" i="10"/>
  <c r="ML1" i="10"/>
  <c r="MK1" i="10"/>
  <c r="MJ1" i="10"/>
  <c r="MI1" i="10"/>
  <c r="MH1" i="10"/>
  <c r="MG1" i="10"/>
  <c r="MF1" i="10"/>
  <c r="ME1" i="10"/>
  <c r="MD1" i="10"/>
  <c r="MC1" i="10"/>
  <c r="MB1" i="10"/>
  <c r="MA1" i="10"/>
  <c r="LZ1" i="10"/>
  <c r="LY1" i="10"/>
  <c r="LX1" i="10"/>
  <c r="LW1" i="10"/>
  <c r="LV1" i="10"/>
  <c r="LU1" i="10"/>
  <c r="LT1" i="10"/>
  <c r="LS1" i="10"/>
  <c r="LR1" i="10"/>
  <c r="LQ1" i="10"/>
  <c r="LP1" i="10"/>
  <c r="LO1" i="10"/>
  <c r="LN1" i="10"/>
  <c r="LM1" i="10"/>
  <c r="LL1" i="10"/>
  <c r="LK1" i="10"/>
  <c r="LJ1" i="10"/>
  <c r="LI1" i="10"/>
  <c r="LH1" i="10"/>
  <c r="LG1" i="10"/>
  <c r="LF1" i="10"/>
  <c r="LE1" i="10"/>
  <c r="LD1" i="10"/>
  <c r="LC1" i="10"/>
  <c r="LB1" i="10"/>
  <c r="LA1" i="10"/>
  <c r="KZ1" i="10"/>
  <c r="KY1" i="10"/>
  <c r="KX1" i="10"/>
  <c r="KW1" i="10"/>
  <c r="KV1" i="10"/>
  <c r="KU1" i="10"/>
  <c r="KT1" i="10"/>
  <c r="KS1" i="10"/>
  <c r="KR1" i="10"/>
  <c r="KQ1" i="10"/>
  <c r="KP1" i="10"/>
  <c r="KO1" i="10"/>
  <c r="KN1" i="10"/>
  <c r="KM1" i="10"/>
  <c r="KL1" i="10"/>
  <c r="KK1" i="10"/>
  <c r="KJ1" i="10"/>
  <c r="KI1" i="10"/>
  <c r="KH1" i="10"/>
  <c r="KG1" i="10"/>
  <c r="KF1" i="10"/>
  <c r="KE1" i="10"/>
  <c r="KD1" i="10"/>
  <c r="KC1" i="10"/>
  <c r="KB1" i="10"/>
  <c r="KA1" i="10"/>
  <c r="JZ1" i="10"/>
  <c r="JY1" i="10"/>
  <c r="JX1" i="10"/>
  <c r="JW1" i="10"/>
  <c r="JV1" i="10"/>
  <c r="JU1" i="10"/>
  <c r="JT1" i="10"/>
  <c r="JS1" i="10"/>
  <c r="JR1" i="10"/>
  <c r="JQ1" i="10"/>
  <c r="JP1" i="10"/>
  <c r="JO1" i="10"/>
  <c r="JN1" i="10"/>
  <c r="JM1" i="10"/>
  <c r="JL1" i="10"/>
  <c r="JK1" i="10"/>
  <c r="JJ1" i="10"/>
  <c r="JI1" i="10"/>
  <c r="JH1" i="10"/>
  <c r="JG1" i="10"/>
  <c r="JF1" i="10"/>
  <c r="JE1" i="10"/>
  <c r="JD1" i="10"/>
  <c r="JC1" i="10"/>
  <c r="JB1" i="10"/>
  <c r="JA1" i="10"/>
  <c r="IZ1" i="10"/>
  <c r="IY1" i="10"/>
  <c r="IX1" i="10"/>
  <c r="IW1" i="10"/>
  <c r="IV1" i="10"/>
  <c r="IU1" i="10"/>
  <c r="IT1" i="10"/>
  <c r="IS1" i="10"/>
  <c r="IR1" i="10"/>
  <c r="IQ1" i="10"/>
  <c r="IP1" i="10"/>
  <c r="IO1" i="10"/>
  <c r="IN1" i="10"/>
  <c r="IM1" i="10"/>
  <c r="IL1" i="10"/>
  <c r="IK1" i="10"/>
  <c r="IJ1" i="10"/>
  <c r="II1" i="10"/>
  <c r="IH1" i="10"/>
  <c r="IG1" i="10"/>
  <c r="IF1" i="10"/>
  <c r="IE1" i="10"/>
  <c r="ID1" i="10"/>
  <c r="IC1" i="10"/>
  <c r="IB1" i="10"/>
  <c r="IA1" i="10"/>
  <c r="HZ1" i="10"/>
  <c r="HY1" i="10"/>
  <c r="HX1" i="10"/>
  <c r="HW1" i="10"/>
  <c r="HT1" i="10"/>
  <c r="HS1" i="10"/>
  <c r="HR1" i="10"/>
  <c r="HQ1" i="10"/>
  <c r="HP1" i="10"/>
  <c r="HO1" i="10"/>
  <c r="HN1" i="10"/>
  <c r="HM1" i="10"/>
  <c r="HL1" i="10"/>
  <c r="HK1" i="10"/>
  <c r="HJ1" i="10"/>
  <c r="HI1" i="10"/>
  <c r="HH1" i="10"/>
  <c r="HG1" i="10"/>
  <c r="HF1" i="10"/>
  <c r="HE1" i="10"/>
  <c r="HD1" i="10"/>
  <c r="HC1" i="10"/>
  <c r="HB1" i="10"/>
  <c r="HA1" i="10"/>
  <c r="GZ1" i="10"/>
  <c r="GY1" i="10"/>
  <c r="GX1" i="10"/>
  <c r="GW1" i="10"/>
  <c r="GV1" i="10"/>
  <c r="GU1" i="10"/>
  <c r="GT1" i="10"/>
  <c r="GS1" i="10"/>
  <c r="GR1" i="10"/>
  <c r="GQ1" i="10"/>
  <c r="GP1" i="10"/>
  <c r="GO1" i="10"/>
  <c r="GN1" i="10"/>
  <c r="GM1" i="10"/>
  <c r="GL1" i="10"/>
  <c r="GK1" i="10"/>
  <c r="GJ1" i="10"/>
  <c r="GI1" i="10"/>
  <c r="GH1" i="10"/>
  <c r="GG1" i="10"/>
  <c r="GF1" i="10"/>
  <c r="GE1" i="10"/>
  <c r="GD1" i="10"/>
  <c r="GC1" i="10"/>
  <c r="GB1" i="10"/>
  <c r="GA1" i="10"/>
  <c r="FZ1" i="10"/>
  <c r="FY1" i="10"/>
  <c r="FX1" i="10"/>
  <c r="FW1" i="10"/>
  <c r="FV1" i="10"/>
  <c r="FU1" i="10"/>
  <c r="FT1" i="10"/>
  <c r="FS1" i="10"/>
  <c r="FR1" i="10"/>
  <c r="FQ1" i="10"/>
  <c r="FP1" i="10"/>
  <c r="FO1" i="10"/>
  <c r="FN1" i="10"/>
  <c r="FM1" i="10"/>
  <c r="FL1" i="10"/>
  <c r="FK1" i="10"/>
  <c r="FJ1" i="10"/>
  <c r="FI1" i="10"/>
  <c r="FH1" i="10"/>
  <c r="FG1" i="10"/>
  <c r="FF1" i="10"/>
  <c r="FE1" i="10"/>
  <c r="FD1" i="10"/>
  <c r="FC1" i="10"/>
  <c r="FB1" i="10"/>
  <c r="FA1" i="10"/>
  <c r="EZ1" i="10"/>
  <c r="EU1" i="10"/>
  <c r="ET1" i="10"/>
  <c r="ES1" i="10"/>
  <c r="ER1" i="10"/>
  <c r="EQ1" i="10"/>
  <c r="EP1" i="10"/>
  <c r="EO1" i="10"/>
  <c r="EN1" i="10"/>
  <c r="EM1" i="10"/>
  <c r="EL1" i="10"/>
  <c r="EK1" i="10"/>
  <c r="EJ1" i="10"/>
  <c r="EI1" i="10"/>
  <c r="EH1" i="10"/>
  <c r="EG1" i="10"/>
  <c r="EF1" i="10"/>
  <c r="EE1" i="10"/>
  <c r="ED1" i="10"/>
  <c r="EC1" i="10"/>
  <c r="EB1" i="10"/>
  <c r="EA1" i="10"/>
  <c r="DZ1" i="10"/>
  <c r="DY1" i="10"/>
  <c r="DX1" i="10"/>
  <c r="DW1" i="10"/>
  <c r="DV1" i="10"/>
  <c r="DU1" i="10"/>
  <c r="DT1" i="10"/>
  <c r="DS1" i="10"/>
  <c r="DR1" i="10"/>
  <c r="DQ1" i="10"/>
  <c r="DP1" i="10"/>
  <c r="DO1" i="10"/>
  <c r="DN1" i="10"/>
  <c r="DM1" i="10"/>
  <c r="DL1" i="10"/>
  <c r="DK1" i="10"/>
  <c r="DJ1" i="10"/>
  <c r="DI1" i="10"/>
  <c r="DH1" i="10"/>
  <c r="DG1" i="10"/>
  <c r="DF1" i="10"/>
  <c r="DE1" i="10"/>
  <c r="DD1" i="10"/>
  <c r="DC1" i="10"/>
  <c r="DB1" i="10"/>
  <c r="DA1" i="10"/>
  <c r="CZ1" i="10"/>
  <c r="CY1" i="10"/>
  <c r="CX1" i="10"/>
  <c r="CW1" i="10"/>
  <c r="CV1" i="10"/>
  <c r="CU1" i="10"/>
  <c r="CT1" i="10"/>
  <c r="CS1" i="10"/>
  <c r="CR1" i="10"/>
  <c r="CQ1" i="10"/>
  <c r="CP1" i="10"/>
  <c r="CO1" i="10"/>
  <c r="CN1" i="10"/>
  <c r="CM1" i="10"/>
  <c r="CL1" i="10"/>
  <c r="CK1" i="10"/>
  <c r="CJ1" i="10"/>
  <c r="CI1" i="10"/>
  <c r="CH1" i="10"/>
  <c r="CG1" i="10"/>
  <c r="CF1" i="10"/>
  <c r="CE1" i="10"/>
  <c r="CD1" i="10"/>
  <c r="CC1" i="10"/>
  <c r="CB1" i="10"/>
  <c r="CA1" i="10"/>
  <c r="BZ1" i="10"/>
  <c r="BY1" i="10"/>
  <c r="BX1" i="10"/>
  <c r="BW1" i="10"/>
  <c r="BV1" i="10"/>
  <c r="BU1" i="10"/>
  <c r="BT1" i="10"/>
  <c r="BS1" i="10"/>
  <c r="BR1" i="10"/>
  <c r="BQ1" i="10"/>
  <c r="BP1" i="10"/>
  <c r="BO1" i="10"/>
  <c r="BN1" i="10"/>
  <c r="BM1" i="10"/>
  <c r="BL1" i="10"/>
  <c r="BK1" i="10"/>
  <c r="BJ1" i="10"/>
  <c r="BI1" i="10"/>
  <c r="BH1" i="10"/>
  <c r="BG1" i="10"/>
  <c r="BF1" i="10"/>
  <c r="BE1" i="10"/>
  <c r="BD1" i="10"/>
  <c r="BC1" i="10"/>
  <c r="BB1" i="10"/>
  <c r="BA1" i="10"/>
  <c r="AZ1" i="10"/>
  <c r="AY1" i="10"/>
  <c r="AX1" i="10"/>
  <c r="AW1" i="10"/>
  <c r="AV1" i="10"/>
  <c r="AU1" i="10"/>
  <c r="AT1" i="10"/>
  <c r="AS1" i="10"/>
  <c r="AR1" i="10"/>
  <c r="AQ1" i="10"/>
  <c r="AP1" i="10"/>
  <c r="AO1" i="10"/>
  <c r="AN1" i="10"/>
  <c r="AM1" i="10"/>
  <c r="AL1" i="10"/>
  <c r="AK1" i="10"/>
  <c r="AJ1" i="10"/>
  <c r="AI1" i="10"/>
  <c r="AH1" i="10"/>
  <c r="AG1" i="10"/>
  <c r="AF1" i="10"/>
  <c r="AE1" i="10"/>
  <c r="AD1" i="10"/>
  <c r="AC1" i="10"/>
  <c r="AB1" i="10"/>
  <c r="AA1" i="10"/>
  <c r="Z1" i="10"/>
  <c r="Y1" i="10"/>
  <c r="X1" i="10"/>
  <c r="W1" i="10"/>
  <c r="V1" i="10"/>
  <c r="U1" i="10"/>
  <c r="T1" i="10"/>
  <c r="S1" i="10"/>
  <c r="R1" i="10"/>
  <c r="Q1" i="10"/>
  <c r="P1" i="10"/>
  <c r="O1" i="10"/>
  <c r="N1" i="10"/>
  <c r="M1" i="10"/>
  <c r="L1" i="10"/>
  <c r="H1" i="4"/>
  <c r="H3" i="4"/>
  <c r="BY1" i="4"/>
  <c r="BX1" i="4"/>
  <c r="BW1" i="4"/>
  <c r="BV1" i="4"/>
  <c r="BU1" i="4"/>
  <c r="BT1" i="4"/>
  <c r="BS1" i="4"/>
  <c r="BR1" i="4"/>
  <c r="BQ1" i="4"/>
  <c r="BP1" i="4"/>
  <c r="BO1" i="4"/>
  <c r="BN1" i="4"/>
  <c r="BM1" i="4"/>
  <c r="BL1" i="4"/>
  <c r="BK1" i="4"/>
  <c r="BJ1" i="4"/>
  <c r="BI1" i="4"/>
  <c r="BH1" i="4"/>
  <c r="BG1" i="4"/>
  <c r="BF1" i="4"/>
  <c r="BE1" i="4"/>
  <c r="BD1" i="4"/>
  <c r="BC1" i="4"/>
  <c r="BB1" i="4"/>
  <c r="AQ1" i="4"/>
  <c r="AP1" i="4"/>
  <c r="AO1" i="4"/>
  <c r="AN1" i="4"/>
  <c r="AM1" i="4"/>
  <c r="AL1" i="4"/>
  <c r="AK1" i="4"/>
  <c r="AJ1" i="4"/>
  <c r="AI1" i="4"/>
  <c r="AH1" i="4"/>
  <c r="AG1" i="4"/>
  <c r="AF1" i="4"/>
  <c r="AE1" i="4"/>
  <c r="AD1" i="4"/>
  <c r="AC1" i="4"/>
  <c r="AB1" i="4"/>
  <c r="AA1" i="4"/>
  <c r="Z1" i="4"/>
  <c r="Y1" i="4"/>
  <c r="X1" i="4"/>
  <c r="W1" i="4"/>
  <c r="V1" i="4"/>
  <c r="U1" i="4"/>
  <c r="T1" i="4"/>
  <c r="S1" i="4"/>
  <c r="R1" i="4"/>
  <c r="Q1" i="4"/>
  <c r="P1" i="4"/>
  <c r="O1" i="4"/>
  <c r="N1" i="4"/>
  <c r="M1" i="4"/>
  <c r="L1" i="4"/>
  <c r="L3" i="6"/>
  <c r="L4" i="6"/>
  <c r="L5" i="6"/>
  <c r="L6" i="6"/>
  <c r="L7" i="6"/>
  <c r="L8" i="6"/>
  <c r="L9" i="6"/>
  <c r="L10" i="6"/>
  <c r="L11" i="6"/>
  <c r="L12" i="6"/>
  <c r="L13" i="6"/>
  <c r="L14" i="6"/>
  <c r="L15" i="6"/>
  <c r="L16" i="6"/>
  <c r="L17" i="6"/>
  <c r="L18" i="6"/>
  <c r="L19" i="6"/>
  <c r="L20" i="6"/>
  <c r="L21" i="6"/>
  <c r="L22" i="6"/>
  <c r="L23" i="6"/>
  <c r="L24" i="6"/>
  <c r="L25" i="6"/>
  <c r="L26" i="6"/>
  <c r="L27" i="6"/>
  <c r="L28" i="6"/>
  <c r="L29" i="6"/>
  <c r="L30" i="6"/>
  <c r="L31" i="6"/>
  <c r="L32" i="6"/>
  <c r="L33" i="6"/>
  <c r="L34" i="6"/>
  <c r="L35" i="6"/>
  <c r="L36" i="6"/>
  <c r="L37" i="6"/>
  <c r="L38" i="6"/>
  <c r="L39" i="6"/>
  <c r="L40" i="6"/>
  <c r="L41" i="6"/>
  <c r="L42" i="6"/>
  <c r="L43" i="6"/>
  <c r="L44" i="6"/>
  <c r="L45" i="6"/>
  <c r="L46" i="6"/>
  <c r="L47" i="6"/>
  <c r="L48" i="6"/>
  <c r="L49" i="6"/>
  <c r="L50" i="6"/>
  <c r="L51" i="6"/>
  <c r="L52" i="6"/>
  <c r="L53" i="6"/>
  <c r="L54" i="6"/>
  <c r="L55" i="6"/>
  <c r="L56" i="6"/>
  <c r="L57" i="6"/>
  <c r="L58" i="6"/>
  <c r="L59" i="6"/>
  <c r="L60" i="6"/>
  <c r="L61" i="6"/>
  <c r="L62" i="6"/>
  <c r="L63" i="6"/>
  <c r="L64" i="6"/>
  <c r="L65" i="6"/>
  <c r="L66" i="6"/>
  <c r="L67" i="6"/>
  <c r="L68" i="6"/>
  <c r="L69" i="6"/>
  <c r="L70" i="6"/>
  <c r="L71" i="6"/>
  <c r="L72" i="6"/>
  <c r="L73" i="6"/>
  <c r="L74" i="6"/>
  <c r="L75" i="6"/>
  <c r="L76" i="6"/>
  <c r="L77" i="6"/>
  <c r="L78" i="6"/>
  <c r="L79" i="6"/>
  <c r="L80" i="6"/>
  <c r="L81" i="6"/>
  <c r="L82" i="6"/>
  <c r="L83" i="6"/>
  <c r="L84" i="6"/>
  <c r="L85" i="6"/>
  <c r="L86" i="6"/>
  <c r="L87" i="6"/>
  <c r="L88" i="6"/>
  <c r="L89" i="6"/>
  <c r="L90" i="6"/>
  <c r="L91" i="6"/>
  <c r="L92" i="6"/>
  <c r="L93" i="6"/>
  <c r="L94" i="6"/>
  <c r="L95" i="6"/>
  <c r="L96" i="6"/>
  <c r="L97" i="6"/>
  <c r="L98" i="6"/>
  <c r="L99" i="6"/>
  <c r="L100" i="6"/>
  <c r="L101" i="6"/>
  <c r="L102" i="6"/>
  <c r="L103" i="6"/>
  <c r="L104" i="6"/>
  <c r="K3" i="6"/>
  <c r="K4" i="6"/>
  <c r="K5" i="6"/>
  <c r="K6" i="6"/>
  <c r="K7" i="6"/>
  <c r="K8" i="6"/>
  <c r="K9" i="6"/>
  <c r="K10" i="6"/>
  <c r="K11" i="6"/>
  <c r="K12" i="6"/>
  <c r="K13" i="6"/>
  <c r="K14" i="6"/>
  <c r="K15" i="6"/>
  <c r="K16" i="6"/>
  <c r="K17" i="6"/>
  <c r="K18" i="6"/>
  <c r="K19" i="6"/>
  <c r="K20" i="6"/>
  <c r="K21" i="6"/>
  <c r="K22" i="6"/>
  <c r="K23" i="6"/>
  <c r="K24" i="6"/>
  <c r="K25" i="6"/>
  <c r="K26" i="6"/>
  <c r="K27" i="6"/>
  <c r="K28" i="6"/>
  <c r="K29" i="6"/>
  <c r="K30" i="6"/>
  <c r="K31" i="6"/>
  <c r="K32" i="6"/>
  <c r="K33" i="6"/>
  <c r="K34" i="6"/>
  <c r="K35" i="6"/>
  <c r="K36" i="6"/>
  <c r="K37" i="6"/>
  <c r="K38" i="6"/>
  <c r="K39" i="6"/>
  <c r="K40" i="6"/>
  <c r="K41" i="6"/>
  <c r="K42" i="6"/>
  <c r="K43" i="6"/>
  <c r="K44" i="6"/>
  <c r="K45" i="6"/>
  <c r="K46" i="6"/>
  <c r="K47" i="6"/>
  <c r="K48" i="6"/>
  <c r="K49" i="6"/>
  <c r="K50" i="6"/>
  <c r="K51" i="6"/>
  <c r="K52" i="6"/>
  <c r="K53" i="6"/>
  <c r="K54" i="6"/>
  <c r="K55" i="6"/>
  <c r="K56" i="6"/>
  <c r="K57" i="6"/>
  <c r="K58" i="6"/>
  <c r="K59" i="6"/>
  <c r="K60" i="6"/>
  <c r="K61" i="6"/>
  <c r="K62" i="6"/>
  <c r="K63" i="6"/>
  <c r="K64" i="6"/>
  <c r="K65" i="6"/>
  <c r="K66" i="6"/>
  <c r="K67" i="6"/>
  <c r="K68" i="6"/>
  <c r="K69" i="6"/>
  <c r="K70" i="6"/>
  <c r="K71" i="6"/>
  <c r="K72" i="6"/>
  <c r="K73" i="6"/>
  <c r="K74" i="6"/>
  <c r="K75" i="6"/>
  <c r="K76" i="6"/>
  <c r="K77" i="6"/>
  <c r="K78" i="6"/>
  <c r="K79" i="6"/>
  <c r="K80" i="6"/>
  <c r="K81" i="6"/>
  <c r="K82" i="6"/>
  <c r="K83" i="6"/>
  <c r="K84" i="6"/>
  <c r="K85" i="6"/>
  <c r="K86" i="6"/>
  <c r="K87" i="6"/>
  <c r="K88" i="6"/>
  <c r="K89" i="6"/>
  <c r="K90" i="6"/>
  <c r="K91" i="6"/>
  <c r="K92" i="6"/>
  <c r="K93" i="6"/>
  <c r="K94" i="6"/>
  <c r="K95" i="6"/>
  <c r="K96" i="6"/>
  <c r="K97" i="6"/>
  <c r="K98" i="6"/>
  <c r="K99" i="6"/>
  <c r="K100" i="6"/>
  <c r="K101" i="6"/>
  <c r="K102" i="6"/>
  <c r="K103" i="6"/>
  <c r="K104" i="6"/>
  <c r="J3" i="6"/>
  <c r="J4" i="6"/>
  <c r="J5" i="6"/>
  <c r="J6" i="6"/>
  <c r="J7" i="6"/>
  <c r="J8" i="6"/>
  <c r="J9" i="6"/>
  <c r="J10" i="6"/>
  <c r="J11" i="6"/>
  <c r="J12" i="6"/>
  <c r="J13" i="6"/>
  <c r="J14" i="6"/>
  <c r="J15" i="6"/>
  <c r="J16" i="6"/>
  <c r="J17" i="6"/>
  <c r="J18" i="6"/>
  <c r="J19" i="6"/>
  <c r="J20" i="6"/>
  <c r="J21" i="6"/>
  <c r="J22" i="6"/>
  <c r="J23" i="6"/>
  <c r="J24" i="6"/>
  <c r="J25" i="6"/>
  <c r="J26" i="6"/>
  <c r="J27" i="6"/>
  <c r="J28" i="6"/>
  <c r="J29" i="6"/>
  <c r="J30" i="6"/>
  <c r="J31" i="6"/>
  <c r="J32" i="6"/>
  <c r="J33" i="6"/>
  <c r="J34" i="6"/>
  <c r="J35" i="6"/>
  <c r="J36" i="6"/>
  <c r="J37" i="6"/>
  <c r="J38" i="6"/>
  <c r="J39" i="6"/>
  <c r="J40" i="6"/>
  <c r="J41" i="6"/>
  <c r="J42" i="6"/>
  <c r="J43" i="6"/>
  <c r="J44" i="6"/>
  <c r="J45" i="6"/>
  <c r="J46" i="6"/>
  <c r="J47" i="6"/>
  <c r="J48" i="6"/>
  <c r="J49" i="6"/>
  <c r="J50" i="6"/>
  <c r="J51" i="6"/>
  <c r="J52" i="6"/>
  <c r="J53" i="6"/>
  <c r="J54" i="6"/>
  <c r="J55" i="6"/>
  <c r="J56" i="6"/>
  <c r="J57" i="6"/>
  <c r="J58" i="6"/>
  <c r="J59" i="6"/>
  <c r="J60" i="6"/>
  <c r="J61" i="6"/>
  <c r="J62" i="6"/>
  <c r="J63" i="6"/>
  <c r="J64" i="6"/>
  <c r="J65" i="6"/>
  <c r="J66" i="6"/>
  <c r="J67" i="6"/>
  <c r="J68" i="6"/>
  <c r="J69" i="6"/>
  <c r="J70" i="6"/>
  <c r="J71" i="6"/>
  <c r="J72" i="6"/>
  <c r="J73" i="6"/>
  <c r="J74" i="6"/>
  <c r="J75" i="6"/>
  <c r="J76" i="6"/>
  <c r="J77" i="6"/>
  <c r="J78" i="6"/>
  <c r="J79" i="6"/>
  <c r="J80" i="6"/>
  <c r="J81" i="6"/>
  <c r="J82" i="6"/>
  <c r="J83" i="6"/>
  <c r="J84" i="6"/>
  <c r="J85" i="6"/>
  <c r="J86" i="6"/>
  <c r="J87" i="6"/>
  <c r="J88" i="6"/>
  <c r="J89" i="6"/>
  <c r="J90" i="6"/>
  <c r="J91" i="6"/>
  <c r="J92" i="6"/>
  <c r="J93" i="6"/>
  <c r="J94" i="6"/>
  <c r="J95" i="6"/>
  <c r="J96" i="6"/>
  <c r="J97" i="6"/>
  <c r="J98" i="6"/>
  <c r="J99" i="6"/>
  <c r="J100" i="6"/>
  <c r="J101" i="6"/>
  <c r="J102" i="6"/>
  <c r="J103" i="6"/>
  <c r="J104" i="6"/>
  <c r="H1" i="9"/>
  <c r="I1" i="9"/>
  <c r="J1" i="9"/>
  <c r="K1" i="9"/>
  <c r="G1" i="9"/>
  <c r="L1" i="9"/>
  <c r="AJ1" i="6"/>
  <c r="AI1" i="6"/>
  <c r="AH1" i="6"/>
  <c r="AG1" i="6"/>
  <c r="AF1" i="6"/>
  <c r="AE1" i="6"/>
  <c r="AD1" i="6"/>
  <c r="AC1" i="6"/>
  <c r="AB1" i="6"/>
  <c r="AA1" i="6"/>
  <c r="Z1" i="6"/>
  <c r="Y1" i="6"/>
  <c r="X1" i="6"/>
  <c r="W1" i="6"/>
  <c r="V1" i="6"/>
  <c r="U1" i="6"/>
  <c r="T1" i="6"/>
  <c r="S1" i="6"/>
  <c r="R1" i="6"/>
  <c r="Q1" i="6"/>
  <c r="P1" i="6"/>
  <c r="O1" i="6"/>
  <c r="N1" i="6"/>
  <c r="M1" i="6"/>
  <c r="L1" i="6"/>
  <c r="K1" i="6"/>
  <c r="C6" i="8"/>
  <c r="I1" i="6"/>
  <c r="H1" i="6"/>
  <c r="G1" i="6"/>
  <c r="F1" i="6"/>
  <c r="E1" i="6"/>
  <c r="D1" i="6"/>
  <c r="O3" i="6"/>
  <c r="O4" i="6"/>
  <c r="O5" i="6"/>
  <c r="O6" i="6"/>
  <c r="O7" i="6"/>
  <c r="O8" i="6"/>
  <c r="O9" i="6"/>
  <c r="O10" i="6"/>
  <c r="O11" i="6"/>
  <c r="O12" i="6"/>
  <c r="O13" i="6"/>
  <c r="O14" i="6"/>
  <c r="O15" i="6"/>
  <c r="O16" i="6"/>
  <c r="O17" i="6"/>
  <c r="O18" i="6"/>
  <c r="O19" i="6"/>
  <c r="O20" i="6"/>
  <c r="O21" i="6"/>
  <c r="O22" i="6"/>
  <c r="O23" i="6"/>
  <c r="O24" i="6"/>
  <c r="O25" i="6"/>
  <c r="O26" i="6"/>
  <c r="O27" i="6"/>
  <c r="O28" i="6"/>
  <c r="O29" i="6"/>
  <c r="O30" i="6"/>
  <c r="O31" i="6"/>
  <c r="O32" i="6"/>
  <c r="O33" i="6"/>
  <c r="O34" i="6"/>
  <c r="O35" i="6"/>
  <c r="O36" i="6"/>
  <c r="O37" i="6"/>
  <c r="O38" i="6"/>
  <c r="O39" i="6"/>
  <c r="O40" i="6"/>
  <c r="O41" i="6"/>
  <c r="O42" i="6"/>
  <c r="O43" i="6"/>
  <c r="O44" i="6"/>
  <c r="O45" i="6"/>
  <c r="O46" i="6"/>
  <c r="O47" i="6"/>
  <c r="O48" i="6"/>
  <c r="O49" i="6"/>
  <c r="O50" i="6"/>
  <c r="O51" i="6"/>
  <c r="O52" i="6"/>
  <c r="O53" i="6"/>
  <c r="O54" i="6"/>
  <c r="O55" i="6"/>
  <c r="O56" i="6"/>
  <c r="O57" i="6"/>
  <c r="O58" i="6"/>
  <c r="O59" i="6"/>
  <c r="O60" i="6"/>
  <c r="O61" i="6"/>
  <c r="O62" i="6"/>
  <c r="O63" i="6"/>
  <c r="O64" i="6"/>
  <c r="O65" i="6"/>
  <c r="O66" i="6"/>
  <c r="O67" i="6"/>
  <c r="O68" i="6"/>
  <c r="O69" i="6"/>
  <c r="O70" i="6"/>
  <c r="O71" i="6"/>
  <c r="O72" i="6"/>
  <c r="O73" i="6"/>
  <c r="O74" i="6"/>
  <c r="O75" i="6"/>
  <c r="O76" i="6"/>
  <c r="O77" i="6"/>
  <c r="O78" i="6"/>
  <c r="O79" i="6"/>
  <c r="O80" i="6"/>
  <c r="O81" i="6"/>
  <c r="O82" i="6"/>
  <c r="O83" i="6"/>
  <c r="O84" i="6"/>
  <c r="O85" i="6"/>
  <c r="O86" i="6"/>
  <c r="O87" i="6"/>
  <c r="O88" i="6"/>
  <c r="O89" i="6"/>
  <c r="O90" i="6"/>
  <c r="O91" i="6"/>
  <c r="O92" i="6"/>
  <c r="O93" i="6"/>
  <c r="O94" i="6"/>
  <c r="O95" i="6"/>
  <c r="O96" i="6"/>
  <c r="O97" i="6"/>
  <c r="O98" i="6"/>
  <c r="O99" i="6"/>
  <c r="O100" i="6"/>
  <c r="O101" i="6"/>
  <c r="O102" i="6"/>
  <c r="O103" i="6"/>
  <c r="O104" i="6"/>
  <c r="N3" i="6"/>
  <c r="N4" i="6"/>
  <c r="N5" i="6"/>
  <c r="N6" i="6"/>
  <c r="N7" i="6"/>
  <c r="N8" i="6"/>
  <c r="N9" i="6"/>
  <c r="N10" i="6"/>
  <c r="N11" i="6"/>
  <c r="N12" i="6"/>
  <c r="N13" i="6"/>
  <c r="N14" i="6"/>
  <c r="N15" i="6"/>
  <c r="N16" i="6"/>
  <c r="N17" i="6"/>
  <c r="N18" i="6"/>
  <c r="N19" i="6"/>
  <c r="N20" i="6"/>
  <c r="N21" i="6"/>
  <c r="N22" i="6"/>
  <c r="N23" i="6"/>
  <c r="N24" i="6"/>
  <c r="N25" i="6"/>
  <c r="N26" i="6"/>
  <c r="N27" i="6"/>
  <c r="N28" i="6"/>
  <c r="N29" i="6"/>
  <c r="N30" i="6"/>
  <c r="N31" i="6"/>
  <c r="N32" i="6"/>
  <c r="N33" i="6"/>
  <c r="N34" i="6"/>
  <c r="N35" i="6"/>
  <c r="N36" i="6"/>
  <c r="N37" i="6"/>
  <c r="N38" i="6"/>
  <c r="N39" i="6"/>
  <c r="N40" i="6"/>
  <c r="N41" i="6"/>
  <c r="N42" i="6"/>
  <c r="N43" i="6"/>
  <c r="N44" i="6"/>
  <c r="N45" i="6"/>
  <c r="N46" i="6"/>
  <c r="N47" i="6"/>
  <c r="N48" i="6"/>
  <c r="N49" i="6"/>
  <c r="N50" i="6"/>
  <c r="N51" i="6"/>
  <c r="N52" i="6"/>
  <c r="N53" i="6"/>
  <c r="N54" i="6"/>
  <c r="N55" i="6"/>
  <c r="N56" i="6"/>
  <c r="N57" i="6"/>
  <c r="N58" i="6"/>
  <c r="N59" i="6"/>
  <c r="N60" i="6"/>
  <c r="N61" i="6"/>
  <c r="N62" i="6"/>
  <c r="N63" i="6"/>
  <c r="N64" i="6"/>
  <c r="N65" i="6"/>
  <c r="N66" i="6"/>
  <c r="N67" i="6"/>
  <c r="N68" i="6"/>
  <c r="N69" i="6"/>
  <c r="N70" i="6"/>
  <c r="N71" i="6"/>
  <c r="N72" i="6"/>
  <c r="N73" i="6"/>
  <c r="N74" i="6"/>
  <c r="N75" i="6"/>
  <c r="N76" i="6"/>
  <c r="N77" i="6"/>
  <c r="N78" i="6"/>
  <c r="N79" i="6"/>
  <c r="N80" i="6"/>
  <c r="N81" i="6"/>
  <c r="N82" i="6"/>
  <c r="N83" i="6"/>
  <c r="N84" i="6"/>
  <c r="N85" i="6"/>
  <c r="N86" i="6"/>
  <c r="N87" i="6"/>
  <c r="N88" i="6"/>
  <c r="N89" i="6"/>
  <c r="N90" i="6"/>
  <c r="N91" i="6"/>
  <c r="N92" i="6"/>
  <c r="N93" i="6"/>
  <c r="N94" i="6"/>
  <c r="N95" i="6"/>
  <c r="N96" i="6"/>
  <c r="N97" i="6"/>
  <c r="N98" i="6"/>
  <c r="N99" i="6"/>
  <c r="N100" i="6"/>
  <c r="N101" i="6"/>
  <c r="N102" i="6"/>
  <c r="N103" i="6"/>
  <c r="N104" i="6"/>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32" i="6"/>
  <c r="I33" i="6"/>
  <c r="I34" i="6"/>
  <c r="I35" i="6"/>
  <c r="I36" i="6"/>
  <c r="I37" i="6"/>
  <c r="I38" i="6"/>
  <c r="I39" i="6"/>
  <c r="I40" i="6"/>
  <c r="I41" i="6"/>
  <c r="I42" i="6"/>
  <c r="I43" i="6"/>
  <c r="I44" i="6"/>
  <c r="I45" i="6"/>
  <c r="I46" i="6"/>
  <c r="I47" i="6"/>
  <c r="I48" i="6"/>
  <c r="I49" i="6"/>
  <c r="I50" i="6"/>
  <c r="I51" i="6"/>
  <c r="I52" i="6"/>
  <c r="I53" i="6"/>
  <c r="I54" i="6"/>
  <c r="I55" i="6"/>
  <c r="I56" i="6"/>
  <c r="I57" i="6"/>
  <c r="I58" i="6"/>
  <c r="I59" i="6"/>
  <c r="I60" i="6"/>
  <c r="I61" i="6"/>
  <c r="I62" i="6"/>
  <c r="I63" i="6"/>
  <c r="I64" i="6"/>
  <c r="I65" i="6"/>
  <c r="I66" i="6"/>
  <c r="I67" i="6"/>
  <c r="I68" i="6"/>
  <c r="I69" i="6"/>
  <c r="I70" i="6"/>
  <c r="I71" i="6"/>
  <c r="I72" i="6"/>
  <c r="I73" i="6"/>
  <c r="I74" i="6"/>
  <c r="I75" i="6"/>
  <c r="I76" i="6"/>
  <c r="I77" i="6"/>
  <c r="I78" i="6"/>
  <c r="I79" i="6"/>
  <c r="I80" i="6"/>
  <c r="I81" i="6"/>
  <c r="I82" i="6"/>
  <c r="I83" i="6"/>
  <c r="I84" i="6"/>
  <c r="I85" i="6"/>
  <c r="I86" i="6"/>
  <c r="I87" i="6"/>
  <c r="I88" i="6"/>
  <c r="I89" i="6"/>
  <c r="I90" i="6"/>
  <c r="I91" i="6"/>
  <c r="I92" i="6"/>
  <c r="I93" i="6"/>
  <c r="I94" i="6"/>
  <c r="I95" i="6"/>
  <c r="I96" i="6"/>
  <c r="I97" i="6"/>
  <c r="I98" i="6"/>
  <c r="I99" i="6"/>
  <c r="I100" i="6"/>
  <c r="I101" i="6"/>
  <c r="I102" i="6"/>
  <c r="I103" i="6"/>
  <c r="I104" i="6"/>
  <c r="H3" i="6"/>
  <c r="H4" i="6"/>
  <c r="H5" i="6"/>
  <c r="H6" i="6"/>
  <c r="H7" i="6"/>
  <c r="H8" i="6"/>
  <c r="H9" i="6"/>
  <c r="H10" i="6"/>
  <c r="H11" i="6"/>
  <c r="H12" i="6"/>
  <c r="H13" i="6"/>
  <c r="H14" i="6"/>
  <c r="H15" i="6"/>
  <c r="H16" i="6"/>
  <c r="H17" i="6"/>
  <c r="H18" i="6"/>
  <c r="H19" i="6"/>
  <c r="H20" i="6"/>
  <c r="H21" i="6"/>
  <c r="H22" i="6"/>
  <c r="H23" i="6"/>
  <c r="H24" i="6"/>
  <c r="H25" i="6"/>
  <c r="H26" i="6"/>
  <c r="H27" i="6"/>
  <c r="H28" i="6"/>
  <c r="H29" i="6"/>
  <c r="H30" i="6"/>
  <c r="H31" i="6"/>
  <c r="H32" i="6"/>
  <c r="H33" i="6"/>
  <c r="H34" i="6"/>
  <c r="H35" i="6"/>
  <c r="H36" i="6"/>
  <c r="H37" i="6"/>
  <c r="H38" i="6"/>
  <c r="H39" i="6"/>
  <c r="H40" i="6"/>
  <c r="H41" i="6"/>
  <c r="H42" i="6"/>
  <c r="H43" i="6"/>
  <c r="H44" i="6"/>
  <c r="H45" i="6"/>
  <c r="H46" i="6"/>
  <c r="H47" i="6"/>
  <c r="H48" i="6"/>
  <c r="H49" i="6"/>
  <c r="H50" i="6"/>
  <c r="H51" i="6"/>
  <c r="H52" i="6"/>
  <c r="H53" i="6"/>
  <c r="H54" i="6"/>
  <c r="H55" i="6"/>
  <c r="H56" i="6"/>
  <c r="H57" i="6"/>
  <c r="H58" i="6"/>
  <c r="H59" i="6"/>
  <c r="H60" i="6"/>
  <c r="H61" i="6"/>
  <c r="H62" i="6"/>
  <c r="H63" i="6"/>
  <c r="H64" i="6"/>
  <c r="H65" i="6"/>
  <c r="H66" i="6"/>
  <c r="H67" i="6"/>
  <c r="H68" i="6"/>
  <c r="H69" i="6"/>
  <c r="H70" i="6"/>
  <c r="H71" i="6"/>
  <c r="H72" i="6"/>
  <c r="H73" i="6"/>
  <c r="H74" i="6"/>
  <c r="H75" i="6"/>
  <c r="H76" i="6"/>
  <c r="H77" i="6"/>
  <c r="H78" i="6"/>
  <c r="H79" i="6"/>
  <c r="H80" i="6"/>
  <c r="H81" i="6"/>
  <c r="H82" i="6"/>
  <c r="H83" i="6"/>
  <c r="H84" i="6"/>
  <c r="H85" i="6"/>
  <c r="H86" i="6"/>
  <c r="H87" i="6"/>
  <c r="H88" i="6"/>
  <c r="H89" i="6"/>
  <c r="H90" i="6"/>
  <c r="H91" i="6"/>
  <c r="H92" i="6"/>
  <c r="H93" i="6"/>
  <c r="H94" i="6"/>
  <c r="H95" i="6"/>
  <c r="H96" i="6"/>
  <c r="H97" i="6"/>
  <c r="H98" i="6"/>
  <c r="H99" i="6"/>
  <c r="H100" i="6"/>
  <c r="H101" i="6"/>
  <c r="H102" i="6"/>
  <c r="H103" i="6"/>
  <c r="H104" i="6"/>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32" i="6"/>
  <c r="G33" i="6"/>
  <c r="G34" i="6"/>
  <c r="G35" i="6"/>
  <c r="G36" i="6"/>
  <c r="G37" i="6"/>
  <c r="G38" i="6"/>
  <c r="G39" i="6"/>
  <c r="G40" i="6"/>
  <c r="G41" i="6"/>
  <c r="G42" i="6"/>
  <c r="G43" i="6"/>
  <c r="G44" i="6"/>
  <c r="G45" i="6"/>
  <c r="G46" i="6"/>
  <c r="G47" i="6"/>
  <c r="G48" i="6"/>
  <c r="G49" i="6"/>
  <c r="G50" i="6"/>
  <c r="G51" i="6"/>
  <c r="G52" i="6"/>
  <c r="G53" i="6"/>
  <c r="G54" i="6"/>
  <c r="G55" i="6"/>
  <c r="G56" i="6"/>
  <c r="G57" i="6"/>
  <c r="G58" i="6"/>
  <c r="G59" i="6"/>
  <c r="G60" i="6"/>
  <c r="G61" i="6"/>
  <c r="G62" i="6"/>
  <c r="G63" i="6"/>
  <c r="G64" i="6"/>
  <c r="G65" i="6"/>
  <c r="G66" i="6"/>
  <c r="G67" i="6"/>
  <c r="G68" i="6"/>
  <c r="G69" i="6"/>
  <c r="G70" i="6"/>
  <c r="G71" i="6"/>
  <c r="G72" i="6"/>
  <c r="G73" i="6"/>
  <c r="G74" i="6"/>
  <c r="G75" i="6"/>
  <c r="G76" i="6"/>
  <c r="G77" i="6"/>
  <c r="G78" i="6"/>
  <c r="G79" i="6"/>
  <c r="G80" i="6"/>
  <c r="G81" i="6"/>
  <c r="G82" i="6"/>
  <c r="G83" i="6"/>
  <c r="G84" i="6"/>
  <c r="G85" i="6"/>
  <c r="G86" i="6"/>
  <c r="G87" i="6"/>
  <c r="G88" i="6"/>
  <c r="G89" i="6"/>
  <c r="G90" i="6"/>
  <c r="G91" i="6"/>
  <c r="G92" i="6"/>
  <c r="G93" i="6"/>
  <c r="G94" i="6"/>
  <c r="G95" i="6"/>
  <c r="G96" i="6"/>
  <c r="G97" i="6"/>
  <c r="G98" i="6"/>
  <c r="G99" i="6"/>
  <c r="G100" i="6"/>
  <c r="G101" i="6"/>
  <c r="G102" i="6"/>
  <c r="G103" i="6"/>
  <c r="G104" i="6"/>
  <c r="E3" i="6"/>
  <c r="E4" i="6"/>
  <c r="E5" i="6"/>
  <c r="E6" i="6"/>
  <c r="E7" i="6"/>
  <c r="E8" i="6"/>
  <c r="E9" i="6"/>
  <c r="E10" i="6"/>
  <c r="E11" i="6"/>
  <c r="E12" i="6"/>
  <c r="E13" i="6"/>
  <c r="E14" i="6"/>
  <c r="E15" i="6"/>
  <c r="E16" i="6"/>
  <c r="E17" i="6"/>
  <c r="E18" i="6"/>
  <c r="E19" i="6"/>
  <c r="E20" i="6"/>
  <c r="E21" i="6"/>
  <c r="E22" i="6"/>
  <c r="E23" i="6"/>
  <c r="E24" i="6"/>
  <c r="E25" i="6"/>
  <c r="E26" i="6"/>
  <c r="E27" i="6"/>
  <c r="E28" i="6"/>
  <c r="E29" i="6"/>
  <c r="E30" i="6"/>
  <c r="E31" i="6"/>
  <c r="E32" i="6"/>
  <c r="E33" i="6"/>
  <c r="E34" i="6"/>
  <c r="E35" i="6"/>
  <c r="E36" i="6"/>
  <c r="E37" i="6"/>
  <c r="E38" i="6"/>
  <c r="E39" i="6"/>
  <c r="E40" i="6"/>
  <c r="E41" i="6"/>
  <c r="E42" i="6"/>
  <c r="E43" i="6"/>
  <c r="E44" i="6"/>
  <c r="E45" i="6"/>
  <c r="E46" i="6"/>
  <c r="E47" i="6"/>
  <c r="E48" i="6"/>
  <c r="E49" i="6"/>
  <c r="E50" i="6"/>
  <c r="E51" i="6"/>
  <c r="E52" i="6"/>
  <c r="E53" i="6"/>
  <c r="E54" i="6"/>
  <c r="E55" i="6"/>
  <c r="E56" i="6"/>
  <c r="E57" i="6"/>
  <c r="E58" i="6"/>
  <c r="E59" i="6"/>
  <c r="E60" i="6"/>
  <c r="E61" i="6"/>
  <c r="E62" i="6"/>
  <c r="E63" i="6"/>
  <c r="E64" i="6"/>
  <c r="E65" i="6"/>
  <c r="E66" i="6"/>
  <c r="E67" i="6"/>
  <c r="E68" i="6"/>
  <c r="E69" i="6"/>
  <c r="E70" i="6"/>
  <c r="E71" i="6"/>
  <c r="E72" i="6"/>
  <c r="E73" i="6"/>
  <c r="E74" i="6"/>
  <c r="E75" i="6"/>
  <c r="E76" i="6"/>
  <c r="E77" i="6"/>
  <c r="E78" i="6"/>
  <c r="E79" i="6"/>
  <c r="E80" i="6"/>
  <c r="E81" i="6"/>
  <c r="E82" i="6"/>
  <c r="E83" i="6"/>
  <c r="E84" i="6"/>
  <c r="E85" i="6"/>
  <c r="E86" i="6"/>
  <c r="E87" i="6"/>
  <c r="E88" i="6"/>
  <c r="E89" i="6"/>
  <c r="E90" i="6"/>
  <c r="E91" i="6"/>
  <c r="E92" i="6"/>
  <c r="E93" i="6"/>
  <c r="E94" i="6"/>
  <c r="E95" i="6"/>
  <c r="E96" i="6"/>
  <c r="E97" i="6"/>
  <c r="E98" i="6"/>
  <c r="E99" i="6"/>
  <c r="E100" i="6"/>
  <c r="E101" i="6"/>
  <c r="E102" i="6"/>
  <c r="E103" i="6"/>
  <c r="E104" i="6"/>
  <c r="E112" i="10"/>
  <c r="E19" i="10"/>
  <c r="E9" i="10"/>
  <c r="E24" i="10"/>
  <c r="E134" i="10"/>
  <c r="E91" i="10"/>
  <c r="E95" i="10"/>
  <c r="E172" i="10"/>
  <c r="E40" i="10"/>
  <c r="E107" i="10"/>
  <c r="E127" i="10"/>
  <c r="E153" i="10"/>
  <c r="E20" i="10"/>
  <c r="E23" i="10"/>
  <c r="E152" i="10"/>
  <c r="E15" i="10"/>
  <c r="E108" i="10"/>
  <c r="E60" i="10"/>
  <c r="E102" i="10"/>
  <c r="E164" i="10"/>
  <c r="E34" i="10"/>
  <c r="E144" i="10"/>
  <c r="E126" i="10"/>
  <c r="E5" i="10"/>
  <c r="E130" i="10"/>
  <c r="E16" i="10"/>
  <c r="E150" i="10"/>
  <c r="E46" i="10"/>
  <c r="E122" i="10"/>
  <c r="E14" i="10"/>
  <c r="E35" i="10"/>
  <c r="E54" i="10"/>
  <c r="E64" i="10"/>
  <c r="E26" i="10"/>
  <c r="E157" i="10"/>
  <c r="E61" i="10"/>
  <c r="E136" i="10"/>
  <c r="E11" i="10"/>
  <c r="E101" i="10"/>
  <c r="E167" i="10"/>
  <c r="E48" i="10"/>
  <c r="E32" i="10"/>
  <c r="E169" i="10"/>
  <c r="E120" i="10"/>
  <c r="E165" i="10"/>
  <c r="E79" i="10"/>
  <c r="E41" i="10"/>
  <c r="E162" i="10"/>
  <c r="E132" i="10"/>
  <c r="E131" i="10"/>
  <c r="E128" i="10"/>
  <c r="E53" i="10"/>
  <c r="E45" i="10"/>
  <c r="E30" i="10"/>
  <c r="E62" i="10"/>
  <c r="E123" i="10"/>
  <c r="E39" i="10"/>
  <c r="E110" i="10"/>
  <c r="E28" i="10"/>
  <c r="E118" i="10"/>
  <c r="E83" i="10"/>
  <c r="E141" i="10"/>
  <c r="E155" i="10"/>
  <c r="E69" i="10"/>
  <c r="E109" i="10"/>
  <c r="E63" i="10"/>
  <c r="E170" i="10"/>
  <c r="E140" i="10"/>
  <c r="E116" i="10"/>
  <c r="E65" i="10"/>
  <c r="E25" i="10"/>
  <c r="E115" i="10"/>
  <c r="E93" i="10"/>
  <c r="E18" i="10"/>
  <c r="E17" i="10"/>
  <c r="E166" i="10"/>
  <c r="E75" i="10"/>
  <c r="E13" i="10"/>
  <c r="E56" i="10"/>
  <c r="E168" i="10"/>
  <c r="E163" i="10"/>
  <c r="E98" i="10"/>
  <c r="E129" i="10"/>
  <c r="E50" i="10"/>
  <c r="E6" i="10"/>
  <c r="E111" i="10"/>
  <c r="E85" i="10"/>
  <c r="E105" i="10"/>
  <c r="E88" i="10"/>
  <c r="E174" i="10"/>
  <c r="E147" i="10"/>
  <c r="E178" i="10"/>
  <c r="E74" i="10"/>
  <c r="E4" i="10"/>
  <c r="E59" i="10"/>
  <c r="E94" i="10"/>
  <c r="E137" i="10"/>
  <c r="E97" i="10"/>
  <c r="E72" i="10"/>
  <c r="E70" i="10"/>
  <c r="E175" i="10"/>
  <c r="E84" i="10"/>
  <c r="E44" i="10"/>
  <c r="E37" i="10"/>
  <c r="E51" i="10"/>
  <c r="E52" i="10"/>
  <c r="E21" i="10"/>
  <c r="E121" i="10"/>
  <c r="E10" i="10"/>
  <c r="E89" i="10"/>
  <c r="E145" i="10"/>
  <c r="E154" i="10"/>
  <c r="E55" i="10"/>
  <c r="E38" i="10"/>
  <c r="E58" i="10"/>
  <c r="E99" i="10"/>
  <c r="E148" i="10"/>
  <c r="E27" i="10"/>
  <c r="E2" i="4"/>
  <c r="E114" i="10"/>
  <c r="E160" i="10"/>
  <c r="E80" i="10"/>
  <c r="E124" i="10"/>
  <c r="E57" i="10"/>
  <c r="E149" i="10"/>
  <c r="E22" i="10"/>
  <c r="E119" i="10"/>
  <c r="E142" i="10"/>
  <c r="E117" i="10"/>
  <c r="E90" i="10"/>
  <c r="E156" i="10"/>
  <c r="E81" i="10"/>
  <c r="E76" i="10"/>
  <c r="E96" i="10"/>
  <c r="E7" i="10"/>
  <c r="E146" i="10"/>
  <c r="E33" i="10"/>
  <c r="E138" i="10"/>
  <c r="E103" i="10"/>
  <c r="E159" i="10"/>
  <c r="E68" i="10"/>
  <c r="E100" i="10"/>
  <c r="E8" i="10"/>
  <c r="E82" i="10"/>
  <c r="E42" i="10"/>
  <c r="E125" i="10"/>
  <c r="E143" i="10"/>
  <c r="E177" i="10"/>
  <c r="E104" i="10"/>
  <c r="E135" i="10"/>
  <c r="E92" i="10"/>
  <c r="E151" i="10"/>
  <c r="E171" i="10"/>
  <c r="E36" i="10"/>
  <c r="E43" i="10"/>
  <c r="E133" i="10"/>
  <c r="E106" i="10"/>
  <c r="E71" i="10"/>
  <c r="E49" i="10"/>
  <c r="E139" i="10"/>
  <c r="E86" i="10"/>
  <c r="E78" i="10"/>
  <c r="E173" i="10"/>
  <c r="E47" i="10"/>
  <c r="E161" i="10"/>
  <c r="E158" i="10"/>
  <c r="E77" i="10"/>
  <c r="E12" i="10"/>
  <c r="E29" i="10"/>
  <c r="E73" i="10"/>
  <c r="E87" i="10"/>
  <c r="E176" i="10"/>
  <c r="E31" i="10"/>
  <c r="W13" i="5" l="1"/>
  <c r="W12" i="5"/>
  <c r="W16" i="5"/>
  <c r="P14" i="5"/>
  <c r="AK54" i="5"/>
  <c r="AK51" i="5"/>
  <c r="AK40" i="5"/>
  <c r="AK21" i="5"/>
  <c r="AK30" i="5"/>
  <c r="AK6" i="5"/>
  <c r="AK45" i="5"/>
  <c r="AK50" i="5"/>
  <c r="AK39" i="5"/>
  <c r="AK20" i="5"/>
  <c r="AK29" i="5"/>
  <c r="AK15" i="5"/>
  <c r="AK5" i="5"/>
  <c r="AK22" i="5"/>
  <c r="AK49" i="5"/>
  <c r="AK38" i="5"/>
  <c r="AK19" i="5"/>
  <c r="AK28" i="5"/>
  <c r="AK14" i="5"/>
  <c r="AK41" i="5"/>
  <c r="AK46" i="5"/>
  <c r="AK37" i="5"/>
  <c r="AK18" i="5"/>
  <c r="AK27" i="5"/>
  <c r="AK13" i="5"/>
  <c r="AK44" i="5"/>
  <c r="AK36" i="5"/>
  <c r="AK26" i="5"/>
  <c r="AK12" i="5"/>
  <c r="AK58" i="5"/>
  <c r="AK43" i="5"/>
  <c r="AK35" i="5"/>
  <c r="AK32" i="5"/>
  <c r="AK25" i="5"/>
  <c r="AK11" i="5"/>
  <c r="AK7" i="5"/>
  <c r="AK55" i="5"/>
  <c r="AK42" i="5"/>
  <c r="AK31" i="5"/>
  <c r="AK10" i="5"/>
  <c r="AD43" i="5"/>
  <c r="AD42" i="5"/>
  <c r="AD32" i="5"/>
  <c r="AD22" i="5"/>
  <c r="AD12" i="5"/>
  <c r="AD13" i="5"/>
  <c r="AD41" i="5"/>
  <c r="AD31" i="5"/>
  <c r="AD21" i="5"/>
  <c r="AD11" i="5"/>
  <c r="AD23" i="5"/>
  <c r="AD48" i="5"/>
  <c r="AD40" i="5"/>
  <c r="AD30" i="5"/>
  <c r="AD19" i="5"/>
  <c r="AD10" i="5"/>
  <c r="AD35" i="5"/>
  <c r="AD47" i="5"/>
  <c r="AD39" i="5"/>
  <c r="AD29" i="5"/>
  <c r="AD18" i="5"/>
  <c r="AD8" i="5"/>
  <c r="AD46" i="5"/>
  <c r="AD38" i="5"/>
  <c r="AD27" i="5"/>
  <c r="AD17" i="5"/>
  <c r="AD7" i="5"/>
  <c r="AD45" i="5"/>
  <c r="AD37" i="5"/>
  <c r="AD26" i="5"/>
  <c r="AD16" i="5"/>
  <c r="AD6" i="5"/>
  <c r="AD44" i="5"/>
  <c r="AD36" i="5"/>
  <c r="AD24" i="5"/>
  <c r="AD15" i="5"/>
  <c r="AD5" i="5"/>
  <c r="W30" i="5"/>
  <c r="W54" i="5"/>
  <c r="W41" i="5"/>
  <c r="W28" i="5"/>
  <c r="W5" i="5"/>
  <c r="W52" i="5"/>
  <c r="W40" i="5"/>
  <c r="W26" i="5"/>
  <c r="W15" i="5"/>
  <c r="W50" i="5"/>
  <c r="W39" i="5"/>
  <c r="W24" i="5"/>
  <c r="W14" i="5"/>
  <c r="W17" i="5"/>
  <c r="W48" i="5"/>
  <c r="W37" i="5"/>
  <c r="W22" i="5"/>
  <c r="W11" i="5"/>
  <c r="W47" i="5"/>
  <c r="W36" i="5"/>
  <c r="W21" i="5"/>
  <c r="W10" i="5"/>
  <c r="W56" i="5"/>
  <c r="W46" i="5"/>
  <c r="W35" i="5"/>
  <c r="W19" i="5"/>
  <c r="W9" i="5"/>
  <c r="W43" i="5"/>
  <c r="W6" i="5"/>
  <c r="W45" i="5"/>
  <c r="W32" i="5"/>
  <c r="W18" i="5"/>
  <c r="W8" i="5"/>
  <c r="P30" i="5"/>
  <c r="P7" i="5"/>
  <c r="P29" i="5"/>
  <c r="P13" i="5"/>
  <c r="P16" i="5"/>
  <c r="P37" i="5"/>
  <c r="P28" i="5"/>
  <c r="P12" i="5"/>
  <c r="P31" i="5"/>
  <c r="P36" i="5"/>
  <c r="P25" i="5"/>
  <c r="P11" i="5"/>
  <c r="P34" i="5"/>
  <c r="P23" i="5"/>
  <c r="P10" i="5"/>
  <c r="P33" i="5"/>
  <c r="P21" i="5"/>
  <c r="P9" i="5"/>
  <c r="P32" i="5"/>
  <c r="P19" i="5"/>
  <c r="P8" i="5"/>
  <c r="P51" i="5"/>
  <c r="P40" i="5"/>
  <c r="P5" i="5"/>
  <c r="P58" i="5"/>
  <c r="P49" i="5"/>
  <c r="P38" i="5"/>
  <c r="P57" i="5"/>
  <c r="P48" i="5"/>
  <c r="P56" i="5"/>
  <c r="P47" i="5"/>
  <c r="P41" i="5"/>
  <c r="P55" i="5"/>
  <c r="P46" i="5"/>
  <c r="P52" i="5"/>
  <c r="P54" i="5"/>
  <c r="P43" i="5"/>
  <c r="P53" i="5"/>
  <c r="P42" i="5"/>
  <c r="I6" i="5"/>
  <c r="I15" i="5"/>
  <c r="I23" i="5"/>
  <c r="I14" i="5"/>
  <c r="I32" i="5"/>
  <c r="I13" i="5"/>
  <c r="I31" i="5"/>
  <c r="I12" i="5"/>
  <c r="I28" i="5"/>
  <c r="I10" i="5"/>
  <c r="I20" i="5"/>
  <c r="I27" i="5"/>
  <c r="I9" i="5"/>
  <c r="I24" i="5"/>
  <c r="I17" i="5"/>
  <c r="I8" i="5"/>
  <c r="I21" i="5"/>
  <c r="I25" i="5"/>
  <c r="I16" i="5"/>
  <c r="I7" i="5"/>
  <c r="I5" i="5"/>
  <c r="V104" i="6"/>
  <c r="U104" i="6"/>
  <c r="T104" i="6"/>
  <c r="S104" i="6"/>
  <c r="R104" i="6"/>
  <c r="Q104" i="6"/>
  <c r="P104" i="6"/>
  <c r="M104" i="6"/>
  <c r="F104" i="6"/>
  <c r="V103" i="6"/>
  <c r="U103" i="6"/>
  <c r="T103" i="6"/>
  <c r="S103" i="6"/>
  <c r="R103" i="6"/>
  <c r="Q103" i="6"/>
  <c r="P103" i="6"/>
  <c r="M103" i="6"/>
  <c r="F103" i="6"/>
  <c r="V102" i="6"/>
  <c r="U102" i="6"/>
  <c r="T102" i="6"/>
  <c r="S102" i="6"/>
  <c r="R102" i="6"/>
  <c r="Q102" i="6"/>
  <c r="P102" i="6"/>
  <c r="M102" i="6"/>
  <c r="F102" i="6"/>
  <c r="V101" i="6"/>
  <c r="U101" i="6"/>
  <c r="T101" i="6"/>
  <c r="S101" i="6"/>
  <c r="R101" i="6"/>
  <c r="Q101" i="6"/>
  <c r="P101" i="6"/>
  <c r="M101" i="6"/>
  <c r="F101" i="6"/>
  <c r="V100" i="6"/>
  <c r="U100" i="6"/>
  <c r="T100" i="6"/>
  <c r="S100" i="6"/>
  <c r="R100" i="6"/>
  <c r="Q100" i="6"/>
  <c r="P100" i="6"/>
  <c r="M100" i="6"/>
  <c r="F100" i="6"/>
  <c r="V99" i="6"/>
  <c r="U99" i="6"/>
  <c r="T99" i="6"/>
  <c r="S99" i="6"/>
  <c r="R99" i="6"/>
  <c r="Q99" i="6"/>
  <c r="P99" i="6"/>
  <c r="M99" i="6"/>
  <c r="F99" i="6"/>
  <c r="V98" i="6"/>
  <c r="U98" i="6"/>
  <c r="T98" i="6"/>
  <c r="S98" i="6"/>
  <c r="R98" i="6"/>
  <c r="Q98" i="6"/>
  <c r="P98" i="6"/>
  <c r="M98" i="6"/>
  <c r="F98" i="6"/>
  <c r="V97" i="6"/>
  <c r="U97" i="6"/>
  <c r="T97" i="6"/>
  <c r="S97" i="6"/>
  <c r="R97" i="6"/>
  <c r="Q97" i="6"/>
  <c r="P97" i="6"/>
  <c r="M97" i="6"/>
  <c r="F97" i="6"/>
  <c r="V96" i="6"/>
  <c r="U96" i="6"/>
  <c r="T96" i="6"/>
  <c r="S96" i="6"/>
  <c r="R96" i="6"/>
  <c r="Q96" i="6"/>
  <c r="P96" i="6"/>
  <c r="M96" i="6"/>
  <c r="F96" i="6"/>
  <c r="V95" i="6"/>
  <c r="U95" i="6"/>
  <c r="T95" i="6"/>
  <c r="S95" i="6"/>
  <c r="R95" i="6"/>
  <c r="Q95" i="6"/>
  <c r="P95" i="6"/>
  <c r="M95" i="6"/>
  <c r="F95" i="6"/>
  <c r="V94" i="6"/>
  <c r="U94" i="6"/>
  <c r="T94" i="6"/>
  <c r="S94" i="6"/>
  <c r="R94" i="6"/>
  <c r="Q94" i="6"/>
  <c r="P94" i="6"/>
  <c r="M94" i="6"/>
  <c r="F94" i="6"/>
  <c r="V93" i="6"/>
  <c r="U93" i="6"/>
  <c r="T93" i="6"/>
  <c r="S93" i="6"/>
  <c r="R93" i="6"/>
  <c r="Q93" i="6"/>
  <c r="P93" i="6"/>
  <c r="M93" i="6"/>
  <c r="F93" i="6"/>
  <c r="V92" i="6"/>
  <c r="U92" i="6"/>
  <c r="T92" i="6"/>
  <c r="S92" i="6"/>
  <c r="R92" i="6"/>
  <c r="Q92" i="6"/>
  <c r="P92" i="6"/>
  <c r="M92" i="6"/>
  <c r="F92" i="6"/>
  <c r="V91" i="6"/>
  <c r="U91" i="6"/>
  <c r="T91" i="6"/>
  <c r="S91" i="6"/>
  <c r="R91" i="6"/>
  <c r="Q91" i="6"/>
  <c r="P91" i="6"/>
  <c r="M91" i="6"/>
  <c r="F91" i="6"/>
  <c r="V90" i="6"/>
  <c r="U90" i="6"/>
  <c r="T90" i="6"/>
  <c r="S90" i="6"/>
  <c r="R90" i="6"/>
  <c r="Q90" i="6"/>
  <c r="P90" i="6"/>
  <c r="M90" i="6"/>
  <c r="F90" i="6"/>
  <c r="V89" i="6"/>
  <c r="U89" i="6"/>
  <c r="T89" i="6"/>
  <c r="S89" i="6"/>
  <c r="R89" i="6"/>
  <c r="Q89" i="6"/>
  <c r="P89" i="6"/>
  <c r="M89" i="6"/>
  <c r="F89" i="6"/>
  <c r="V88" i="6"/>
  <c r="U88" i="6"/>
  <c r="T88" i="6"/>
  <c r="S88" i="6"/>
  <c r="R88" i="6"/>
  <c r="Q88" i="6"/>
  <c r="P88" i="6"/>
  <c r="M88" i="6"/>
  <c r="F88" i="6"/>
  <c r="V87" i="6"/>
  <c r="U87" i="6"/>
  <c r="T87" i="6"/>
  <c r="S87" i="6"/>
  <c r="R87" i="6"/>
  <c r="Q87" i="6"/>
  <c r="P87" i="6"/>
  <c r="M87" i="6"/>
  <c r="F87" i="6"/>
  <c r="V86" i="6"/>
  <c r="U86" i="6"/>
  <c r="T86" i="6"/>
  <c r="S86" i="6"/>
  <c r="R86" i="6"/>
  <c r="Q86" i="6"/>
  <c r="P86" i="6"/>
  <c r="M86" i="6"/>
  <c r="F86" i="6"/>
  <c r="V85" i="6"/>
  <c r="U85" i="6"/>
  <c r="T85" i="6"/>
  <c r="S85" i="6"/>
  <c r="R85" i="6"/>
  <c r="Q85" i="6"/>
  <c r="P85" i="6"/>
  <c r="M85" i="6"/>
  <c r="F85" i="6"/>
  <c r="V84" i="6"/>
  <c r="U84" i="6"/>
  <c r="T84" i="6"/>
  <c r="S84" i="6"/>
  <c r="R84" i="6"/>
  <c r="Q84" i="6"/>
  <c r="P84" i="6"/>
  <c r="M84" i="6"/>
  <c r="F84" i="6"/>
  <c r="V83" i="6"/>
  <c r="U83" i="6"/>
  <c r="T83" i="6"/>
  <c r="S83" i="6"/>
  <c r="R83" i="6"/>
  <c r="Q83" i="6"/>
  <c r="P83" i="6"/>
  <c r="M83" i="6"/>
  <c r="F83" i="6"/>
  <c r="V82" i="6"/>
  <c r="U82" i="6"/>
  <c r="T82" i="6"/>
  <c r="S82" i="6"/>
  <c r="R82" i="6"/>
  <c r="Q82" i="6"/>
  <c r="P82" i="6"/>
  <c r="M82" i="6"/>
  <c r="F82" i="6"/>
  <c r="V81" i="6"/>
  <c r="U81" i="6"/>
  <c r="T81" i="6"/>
  <c r="S81" i="6"/>
  <c r="R81" i="6"/>
  <c r="Q81" i="6"/>
  <c r="P81" i="6"/>
  <c r="M81" i="6"/>
  <c r="F81" i="6"/>
  <c r="V80" i="6"/>
  <c r="U80" i="6"/>
  <c r="T80" i="6"/>
  <c r="S80" i="6"/>
  <c r="R80" i="6"/>
  <c r="Q80" i="6"/>
  <c r="P80" i="6"/>
  <c r="M80" i="6"/>
  <c r="F80" i="6"/>
  <c r="V79" i="6"/>
  <c r="U79" i="6"/>
  <c r="T79" i="6"/>
  <c r="S79" i="6"/>
  <c r="R79" i="6"/>
  <c r="Q79" i="6"/>
  <c r="P79" i="6"/>
  <c r="M79" i="6"/>
  <c r="F79" i="6"/>
  <c r="V78" i="6"/>
  <c r="U78" i="6"/>
  <c r="T78" i="6"/>
  <c r="S78" i="6"/>
  <c r="R78" i="6"/>
  <c r="Q78" i="6"/>
  <c r="P78" i="6"/>
  <c r="M78" i="6"/>
  <c r="F78" i="6"/>
  <c r="V77" i="6"/>
  <c r="U77" i="6"/>
  <c r="T77" i="6"/>
  <c r="S77" i="6"/>
  <c r="R77" i="6"/>
  <c r="Q77" i="6"/>
  <c r="P77" i="6"/>
  <c r="M77" i="6"/>
  <c r="F77" i="6"/>
  <c r="V76" i="6"/>
  <c r="U76" i="6"/>
  <c r="T76" i="6"/>
  <c r="S76" i="6"/>
  <c r="R76" i="6"/>
  <c r="Q76" i="6"/>
  <c r="P76" i="6"/>
  <c r="M76" i="6"/>
  <c r="F76" i="6"/>
  <c r="V75" i="6"/>
  <c r="U75" i="6"/>
  <c r="T75" i="6"/>
  <c r="S75" i="6"/>
  <c r="R75" i="6"/>
  <c r="Q75" i="6"/>
  <c r="P75" i="6"/>
  <c r="M75" i="6"/>
  <c r="F75" i="6"/>
  <c r="V74" i="6"/>
  <c r="U74" i="6"/>
  <c r="T74" i="6"/>
  <c r="S74" i="6"/>
  <c r="R74" i="6"/>
  <c r="Q74" i="6"/>
  <c r="P74" i="6"/>
  <c r="M74" i="6"/>
  <c r="F74" i="6"/>
  <c r="V73" i="6"/>
  <c r="U73" i="6"/>
  <c r="T73" i="6"/>
  <c r="S73" i="6"/>
  <c r="R73" i="6"/>
  <c r="Q73" i="6"/>
  <c r="P73" i="6"/>
  <c r="M73" i="6"/>
  <c r="F73" i="6"/>
  <c r="V72" i="6"/>
  <c r="U72" i="6"/>
  <c r="T72" i="6"/>
  <c r="S72" i="6"/>
  <c r="R72" i="6"/>
  <c r="Q72" i="6"/>
  <c r="P72" i="6"/>
  <c r="M72" i="6"/>
  <c r="F72" i="6"/>
  <c r="V71" i="6"/>
  <c r="U71" i="6"/>
  <c r="T71" i="6"/>
  <c r="S71" i="6"/>
  <c r="R71" i="6"/>
  <c r="Q71" i="6"/>
  <c r="P71" i="6"/>
  <c r="M71" i="6"/>
  <c r="F71" i="6"/>
  <c r="V70" i="6"/>
  <c r="U70" i="6"/>
  <c r="T70" i="6"/>
  <c r="S70" i="6"/>
  <c r="R70" i="6"/>
  <c r="Q70" i="6"/>
  <c r="P70" i="6"/>
  <c r="M70" i="6"/>
  <c r="F70" i="6"/>
  <c r="V69" i="6"/>
  <c r="U69" i="6"/>
  <c r="T69" i="6"/>
  <c r="S69" i="6"/>
  <c r="R69" i="6"/>
  <c r="Q69" i="6"/>
  <c r="P69" i="6"/>
  <c r="M69" i="6"/>
  <c r="F69" i="6"/>
  <c r="V68" i="6"/>
  <c r="U68" i="6"/>
  <c r="T68" i="6"/>
  <c r="S68" i="6"/>
  <c r="R68" i="6"/>
  <c r="Q68" i="6"/>
  <c r="P68" i="6"/>
  <c r="M68" i="6"/>
  <c r="F68" i="6"/>
  <c r="V67" i="6"/>
  <c r="U67" i="6"/>
  <c r="T67" i="6"/>
  <c r="S67" i="6"/>
  <c r="R67" i="6"/>
  <c r="Q67" i="6"/>
  <c r="P67" i="6"/>
  <c r="M67" i="6"/>
  <c r="F67" i="6"/>
  <c r="V66" i="6"/>
  <c r="U66" i="6"/>
  <c r="T66" i="6"/>
  <c r="S66" i="6"/>
  <c r="R66" i="6"/>
  <c r="Q66" i="6"/>
  <c r="P66" i="6"/>
  <c r="M66" i="6"/>
  <c r="F66" i="6"/>
  <c r="V65" i="6"/>
  <c r="U65" i="6"/>
  <c r="T65" i="6"/>
  <c r="S65" i="6"/>
  <c r="R65" i="6"/>
  <c r="Q65" i="6"/>
  <c r="P65" i="6"/>
  <c r="M65" i="6"/>
  <c r="F65" i="6"/>
  <c r="V64" i="6"/>
  <c r="U64" i="6"/>
  <c r="T64" i="6"/>
  <c r="S64" i="6"/>
  <c r="R64" i="6"/>
  <c r="Q64" i="6"/>
  <c r="P64" i="6"/>
  <c r="M64" i="6"/>
  <c r="F64" i="6"/>
  <c r="V63" i="6"/>
  <c r="U63" i="6"/>
  <c r="T63" i="6"/>
  <c r="S63" i="6"/>
  <c r="R63" i="6"/>
  <c r="Q63" i="6"/>
  <c r="P63" i="6"/>
  <c r="M63" i="6"/>
  <c r="F63" i="6"/>
  <c r="V62" i="6"/>
  <c r="U62" i="6"/>
  <c r="T62" i="6"/>
  <c r="S62" i="6"/>
  <c r="R62" i="6"/>
  <c r="Q62" i="6"/>
  <c r="P62" i="6"/>
  <c r="M62" i="6"/>
  <c r="F62" i="6"/>
  <c r="V61" i="6"/>
  <c r="U61" i="6"/>
  <c r="T61" i="6"/>
  <c r="S61" i="6"/>
  <c r="R61" i="6"/>
  <c r="Q61" i="6"/>
  <c r="P61" i="6"/>
  <c r="M61" i="6"/>
  <c r="F61" i="6"/>
  <c r="V60" i="6"/>
  <c r="U60" i="6"/>
  <c r="T60" i="6"/>
  <c r="S60" i="6"/>
  <c r="R60" i="6"/>
  <c r="Q60" i="6"/>
  <c r="P60" i="6"/>
  <c r="M60" i="6"/>
  <c r="F60" i="6"/>
  <c r="V59" i="6"/>
  <c r="U59" i="6"/>
  <c r="T59" i="6"/>
  <c r="S59" i="6"/>
  <c r="R59" i="6"/>
  <c r="Q59" i="6"/>
  <c r="P59" i="6"/>
  <c r="M59" i="6"/>
  <c r="F59" i="6"/>
  <c r="V58" i="6"/>
  <c r="U58" i="6"/>
  <c r="T58" i="6"/>
  <c r="S58" i="6"/>
  <c r="R58" i="6"/>
  <c r="Q58" i="6"/>
  <c r="P58" i="6"/>
  <c r="M58" i="6"/>
  <c r="F58" i="6"/>
  <c r="V57" i="6"/>
  <c r="U57" i="6"/>
  <c r="T57" i="6"/>
  <c r="S57" i="6"/>
  <c r="R57" i="6"/>
  <c r="Q57" i="6"/>
  <c r="P57" i="6"/>
  <c r="M57" i="6"/>
  <c r="F57" i="6"/>
  <c r="V56" i="6"/>
  <c r="U56" i="6"/>
  <c r="T56" i="6"/>
  <c r="S56" i="6"/>
  <c r="R56" i="6"/>
  <c r="Q56" i="6"/>
  <c r="P56" i="6"/>
  <c r="M56" i="6"/>
  <c r="F56" i="6"/>
  <c r="V55" i="6"/>
  <c r="U55" i="6"/>
  <c r="T55" i="6"/>
  <c r="S55" i="6"/>
  <c r="R55" i="6"/>
  <c r="Q55" i="6"/>
  <c r="P55" i="6"/>
  <c r="M55" i="6"/>
  <c r="F55" i="6"/>
  <c r="V54" i="6"/>
  <c r="U54" i="6"/>
  <c r="T54" i="6"/>
  <c r="S54" i="6"/>
  <c r="R54" i="6"/>
  <c r="Q54" i="6"/>
  <c r="P54" i="6"/>
  <c r="M54" i="6"/>
  <c r="F54" i="6"/>
  <c r="V53" i="6"/>
  <c r="U53" i="6"/>
  <c r="T53" i="6"/>
  <c r="S53" i="6"/>
  <c r="R53" i="6"/>
  <c r="Q53" i="6"/>
  <c r="P53" i="6"/>
  <c r="M53" i="6"/>
  <c r="F53" i="6"/>
  <c r="V52" i="6"/>
  <c r="U52" i="6"/>
  <c r="T52" i="6"/>
  <c r="S52" i="6"/>
  <c r="R52" i="6"/>
  <c r="Q52" i="6"/>
  <c r="P52" i="6"/>
  <c r="M52" i="6"/>
  <c r="F52" i="6"/>
  <c r="V51" i="6"/>
  <c r="U51" i="6"/>
  <c r="T51" i="6"/>
  <c r="S51" i="6"/>
  <c r="R51" i="6"/>
  <c r="Q51" i="6"/>
  <c r="P51" i="6"/>
  <c r="M51" i="6"/>
  <c r="F51" i="6"/>
  <c r="V50" i="6"/>
  <c r="U50" i="6"/>
  <c r="T50" i="6"/>
  <c r="S50" i="6"/>
  <c r="R50" i="6"/>
  <c r="Q50" i="6"/>
  <c r="P50" i="6"/>
  <c r="M50" i="6"/>
  <c r="F50" i="6"/>
  <c r="V49" i="6"/>
  <c r="U49" i="6"/>
  <c r="T49" i="6"/>
  <c r="S49" i="6"/>
  <c r="R49" i="6"/>
  <c r="Q49" i="6"/>
  <c r="P49" i="6"/>
  <c r="M49" i="6"/>
  <c r="F49" i="6"/>
  <c r="V48" i="6"/>
  <c r="U48" i="6"/>
  <c r="T48" i="6"/>
  <c r="S48" i="6"/>
  <c r="R48" i="6"/>
  <c r="Q48" i="6"/>
  <c r="P48" i="6"/>
  <c r="M48" i="6"/>
  <c r="F48" i="6"/>
  <c r="V47" i="6"/>
  <c r="U47" i="6"/>
  <c r="T47" i="6"/>
  <c r="S47" i="6"/>
  <c r="R47" i="6"/>
  <c r="Q47" i="6"/>
  <c r="P47" i="6"/>
  <c r="M47" i="6"/>
  <c r="F47" i="6"/>
  <c r="V46" i="6"/>
  <c r="U46" i="6"/>
  <c r="T46" i="6"/>
  <c r="S46" i="6"/>
  <c r="R46" i="6"/>
  <c r="Q46" i="6"/>
  <c r="P46" i="6"/>
  <c r="M46" i="6"/>
  <c r="F46" i="6"/>
  <c r="V45" i="6"/>
  <c r="U45" i="6"/>
  <c r="T45" i="6"/>
  <c r="S45" i="6"/>
  <c r="R45" i="6"/>
  <c r="Q45" i="6"/>
  <c r="P45" i="6"/>
  <c r="M45" i="6"/>
  <c r="F45" i="6"/>
  <c r="V44" i="6"/>
  <c r="U44" i="6"/>
  <c r="T44" i="6"/>
  <c r="S44" i="6"/>
  <c r="R44" i="6"/>
  <c r="Q44" i="6"/>
  <c r="P44" i="6"/>
  <c r="M44" i="6"/>
  <c r="F44" i="6"/>
  <c r="V43" i="6"/>
  <c r="U43" i="6"/>
  <c r="T43" i="6"/>
  <c r="S43" i="6"/>
  <c r="R43" i="6"/>
  <c r="Q43" i="6"/>
  <c r="P43" i="6"/>
  <c r="M43" i="6"/>
  <c r="F43" i="6"/>
  <c r="V42" i="6"/>
  <c r="U42" i="6"/>
  <c r="T42" i="6"/>
  <c r="S42" i="6"/>
  <c r="R42" i="6"/>
  <c r="Q42" i="6"/>
  <c r="P42" i="6"/>
  <c r="M42" i="6"/>
  <c r="F42" i="6"/>
  <c r="V41" i="6"/>
  <c r="U41" i="6"/>
  <c r="T41" i="6"/>
  <c r="S41" i="6"/>
  <c r="R41" i="6"/>
  <c r="Q41" i="6"/>
  <c r="P41" i="6"/>
  <c r="M41" i="6"/>
  <c r="F41" i="6"/>
  <c r="V40" i="6"/>
  <c r="U40" i="6"/>
  <c r="T40" i="6"/>
  <c r="S40" i="6"/>
  <c r="R40" i="6"/>
  <c r="Q40" i="6"/>
  <c r="P40" i="6"/>
  <c r="M40" i="6"/>
  <c r="F40" i="6"/>
  <c r="V39" i="6"/>
  <c r="U39" i="6"/>
  <c r="T39" i="6"/>
  <c r="S39" i="6"/>
  <c r="R39" i="6"/>
  <c r="Q39" i="6"/>
  <c r="P39" i="6"/>
  <c r="M39" i="6"/>
  <c r="F39" i="6"/>
  <c r="V38" i="6"/>
  <c r="U38" i="6"/>
  <c r="T38" i="6"/>
  <c r="S38" i="6"/>
  <c r="R38" i="6"/>
  <c r="Q38" i="6"/>
  <c r="P38" i="6"/>
  <c r="M38" i="6"/>
  <c r="F38" i="6"/>
  <c r="V37" i="6"/>
  <c r="U37" i="6"/>
  <c r="T37" i="6"/>
  <c r="S37" i="6"/>
  <c r="R37" i="6"/>
  <c r="Q37" i="6"/>
  <c r="P37" i="6"/>
  <c r="M37" i="6"/>
  <c r="F37" i="6"/>
  <c r="V36" i="6"/>
  <c r="U36" i="6"/>
  <c r="T36" i="6"/>
  <c r="S36" i="6"/>
  <c r="R36" i="6"/>
  <c r="Q36" i="6"/>
  <c r="P36" i="6"/>
  <c r="M36" i="6"/>
  <c r="F36" i="6"/>
  <c r="V35" i="6"/>
  <c r="U35" i="6"/>
  <c r="T35" i="6"/>
  <c r="S35" i="6"/>
  <c r="R35" i="6"/>
  <c r="Q35" i="6"/>
  <c r="P35" i="6"/>
  <c r="M35" i="6"/>
  <c r="F35" i="6"/>
  <c r="V34" i="6"/>
  <c r="U34" i="6"/>
  <c r="T34" i="6"/>
  <c r="S34" i="6"/>
  <c r="R34" i="6"/>
  <c r="Q34" i="6"/>
  <c r="P34" i="6"/>
  <c r="M34" i="6"/>
  <c r="F34" i="6"/>
  <c r="V33" i="6"/>
  <c r="U33" i="6"/>
  <c r="T33" i="6"/>
  <c r="S33" i="6"/>
  <c r="R33" i="6"/>
  <c r="Q33" i="6"/>
  <c r="P33" i="6"/>
  <c r="M33" i="6"/>
  <c r="F33" i="6"/>
  <c r="V32" i="6"/>
  <c r="U32" i="6"/>
  <c r="T32" i="6"/>
  <c r="S32" i="6"/>
  <c r="R32" i="6"/>
  <c r="Q32" i="6"/>
  <c r="P32" i="6"/>
  <c r="M32" i="6"/>
  <c r="F32" i="6"/>
  <c r="V31" i="6"/>
  <c r="U31" i="6"/>
  <c r="T31" i="6"/>
  <c r="S31" i="6"/>
  <c r="R31" i="6"/>
  <c r="Q31" i="6"/>
  <c r="P31" i="6"/>
  <c r="M31" i="6"/>
  <c r="F31" i="6"/>
  <c r="V30" i="6"/>
  <c r="U30" i="6"/>
  <c r="T30" i="6"/>
  <c r="S30" i="6"/>
  <c r="R30" i="6"/>
  <c r="Q30" i="6"/>
  <c r="P30" i="6"/>
  <c r="M30" i="6"/>
  <c r="F30" i="6"/>
  <c r="V29" i="6"/>
  <c r="U29" i="6"/>
  <c r="T29" i="6"/>
  <c r="S29" i="6"/>
  <c r="R29" i="6"/>
  <c r="Q29" i="6"/>
  <c r="P29" i="6"/>
  <c r="M29" i="6"/>
  <c r="F29" i="6"/>
  <c r="V28" i="6"/>
  <c r="U28" i="6"/>
  <c r="T28" i="6"/>
  <c r="S28" i="6"/>
  <c r="R28" i="6"/>
  <c r="Q28" i="6"/>
  <c r="P28" i="6"/>
  <c r="M28" i="6"/>
  <c r="F28" i="6"/>
  <c r="V27" i="6"/>
  <c r="U27" i="6"/>
  <c r="T27" i="6"/>
  <c r="S27" i="6"/>
  <c r="R27" i="6"/>
  <c r="Q27" i="6"/>
  <c r="P27" i="6"/>
  <c r="M27" i="6"/>
  <c r="F27" i="6"/>
  <c r="V26" i="6"/>
  <c r="U26" i="6"/>
  <c r="T26" i="6"/>
  <c r="S26" i="6"/>
  <c r="R26" i="6"/>
  <c r="Q26" i="6"/>
  <c r="P26" i="6"/>
  <c r="M26" i="6"/>
  <c r="F26" i="6"/>
  <c r="V25" i="6"/>
  <c r="U25" i="6"/>
  <c r="T25" i="6"/>
  <c r="S25" i="6"/>
  <c r="R25" i="6"/>
  <c r="Q25" i="6"/>
  <c r="P25" i="6"/>
  <c r="M25" i="6"/>
  <c r="F25" i="6"/>
  <c r="V24" i="6"/>
  <c r="U24" i="6"/>
  <c r="T24" i="6"/>
  <c r="S24" i="6"/>
  <c r="R24" i="6"/>
  <c r="Q24" i="6"/>
  <c r="P24" i="6"/>
  <c r="M24" i="6"/>
  <c r="F24" i="6"/>
  <c r="V23" i="6"/>
  <c r="U23" i="6"/>
  <c r="T23" i="6"/>
  <c r="S23" i="6"/>
  <c r="R23" i="6"/>
  <c r="Q23" i="6"/>
  <c r="P23" i="6"/>
  <c r="M23" i="6"/>
  <c r="F23" i="6"/>
  <c r="V22" i="6"/>
  <c r="U22" i="6"/>
  <c r="T22" i="6"/>
  <c r="S22" i="6"/>
  <c r="R22" i="6"/>
  <c r="Q22" i="6"/>
  <c r="P22" i="6"/>
  <c r="M22" i="6"/>
  <c r="F22" i="6"/>
  <c r="V21" i="6"/>
  <c r="U21" i="6"/>
  <c r="T21" i="6"/>
  <c r="S21" i="6"/>
  <c r="R21" i="6"/>
  <c r="Q21" i="6"/>
  <c r="P21" i="6"/>
  <c r="M21" i="6"/>
  <c r="F21" i="6"/>
  <c r="V20" i="6"/>
  <c r="U20" i="6"/>
  <c r="T20" i="6"/>
  <c r="S20" i="6"/>
  <c r="R20" i="6"/>
  <c r="Q20" i="6"/>
  <c r="P20" i="6"/>
  <c r="M20" i="6"/>
  <c r="F20" i="6"/>
  <c r="V19" i="6"/>
  <c r="U19" i="6"/>
  <c r="T19" i="6"/>
  <c r="S19" i="6"/>
  <c r="R19" i="6"/>
  <c r="Q19" i="6"/>
  <c r="P19" i="6"/>
  <c r="M19" i="6"/>
  <c r="F19" i="6"/>
  <c r="V18" i="6"/>
  <c r="U18" i="6"/>
  <c r="T18" i="6"/>
  <c r="S18" i="6"/>
  <c r="R18" i="6"/>
  <c r="Q18" i="6"/>
  <c r="P18" i="6"/>
  <c r="M18" i="6"/>
  <c r="F18" i="6"/>
  <c r="V17" i="6"/>
  <c r="U17" i="6"/>
  <c r="T17" i="6"/>
  <c r="S17" i="6"/>
  <c r="R17" i="6"/>
  <c r="Q17" i="6"/>
  <c r="P17" i="6"/>
  <c r="M17" i="6"/>
  <c r="F17" i="6"/>
  <c r="V16" i="6"/>
  <c r="U16" i="6"/>
  <c r="T16" i="6"/>
  <c r="S16" i="6"/>
  <c r="R16" i="6"/>
  <c r="Q16" i="6"/>
  <c r="P16" i="6"/>
  <c r="M16" i="6"/>
  <c r="F16" i="6"/>
  <c r="V15" i="6"/>
  <c r="U15" i="6"/>
  <c r="T15" i="6"/>
  <c r="S15" i="6"/>
  <c r="R15" i="6"/>
  <c r="Q15" i="6"/>
  <c r="P15" i="6"/>
  <c r="M15" i="6"/>
  <c r="F15" i="6"/>
  <c r="V14" i="6"/>
  <c r="U14" i="6"/>
  <c r="T14" i="6"/>
  <c r="S14" i="6"/>
  <c r="R14" i="6"/>
  <c r="Q14" i="6"/>
  <c r="P14" i="6"/>
  <c r="M14" i="6"/>
  <c r="F14" i="6"/>
  <c r="V13" i="6"/>
  <c r="U13" i="6"/>
  <c r="T13" i="6"/>
  <c r="S13" i="6"/>
  <c r="R13" i="6"/>
  <c r="Q13" i="6"/>
  <c r="P13" i="6"/>
  <c r="M13" i="6"/>
  <c r="F13" i="6"/>
  <c r="V12" i="6"/>
  <c r="U12" i="6"/>
  <c r="T12" i="6"/>
  <c r="S12" i="6"/>
  <c r="R12" i="6"/>
  <c r="Q12" i="6"/>
  <c r="P12" i="6"/>
  <c r="M12" i="6"/>
  <c r="F12" i="6"/>
  <c r="V11" i="6"/>
  <c r="U11" i="6"/>
  <c r="T11" i="6"/>
  <c r="S11" i="6"/>
  <c r="R11" i="6"/>
  <c r="Q11" i="6"/>
  <c r="P11" i="6"/>
  <c r="M11" i="6"/>
  <c r="F11" i="6"/>
  <c r="V10" i="6"/>
  <c r="U10" i="6"/>
  <c r="T10" i="6"/>
  <c r="S10" i="6"/>
  <c r="R10" i="6"/>
  <c r="Q10" i="6"/>
  <c r="P10" i="6"/>
  <c r="M10" i="6"/>
  <c r="F10" i="6"/>
  <c r="V9" i="6"/>
  <c r="U9" i="6"/>
  <c r="T9" i="6"/>
  <c r="S9" i="6"/>
  <c r="R9" i="6"/>
  <c r="Q9" i="6"/>
  <c r="P9" i="6"/>
  <c r="M9" i="6"/>
  <c r="F9" i="6"/>
  <c r="V8" i="6"/>
  <c r="U8" i="6"/>
  <c r="T8" i="6"/>
  <c r="S8" i="6"/>
  <c r="R8" i="6"/>
  <c r="Q8" i="6"/>
  <c r="P8" i="6"/>
  <c r="M8" i="6"/>
  <c r="F8" i="6"/>
  <c r="V7" i="6"/>
  <c r="U7" i="6"/>
  <c r="T7" i="6"/>
  <c r="S7" i="6"/>
  <c r="R7" i="6"/>
  <c r="Q7" i="6"/>
  <c r="P7" i="6"/>
  <c r="M7" i="6"/>
  <c r="F7" i="6"/>
  <c r="V6" i="6"/>
  <c r="U6" i="6"/>
  <c r="T6" i="6"/>
  <c r="S6" i="6"/>
  <c r="R6" i="6"/>
  <c r="Q6" i="6"/>
  <c r="P6" i="6"/>
  <c r="M6" i="6"/>
  <c r="F6" i="6"/>
  <c r="V5" i="6"/>
  <c r="U5" i="6"/>
  <c r="T5" i="6"/>
  <c r="S5" i="6"/>
  <c r="R5" i="6"/>
  <c r="Q5" i="6"/>
  <c r="P5" i="6"/>
  <c r="M5" i="6"/>
  <c r="F5" i="6"/>
  <c r="V4" i="6"/>
  <c r="U4" i="6"/>
  <c r="T4" i="6"/>
  <c r="S4" i="6"/>
  <c r="R4" i="6"/>
  <c r="Q4" i="6"/>
  <c r="P4" i="6"/>
  <c r="M4" i="6"/>
  <c r="F4" i="6"/>
  <c r="V3" i="6"/>
  <c r="U3" i="6"/>
  <c r="T3" i="6"/>
  <c r="S3" i="6"/>
  <c r="R3" i="6"/>
  <c r="Q3" i="6"/>
  <c r="P3" i="6"/>
  <c r="M3" i="6"/>
  <c r="F3" i="6"/>
  <c r="C1" i="9"/>
  <c r="D1" i="9"/>
  <c r="E1" i="9"/>
  <c r="F1" i="9"/>
  <c r="M1" i="9"/>
  <c r="N1" i="9"/>
  <c r="O1" i="9"/>
  <c r="P1" i="9"/>
  <c r="Q1" i="9"/>
  <c r="R1" i="9"/>
  <c r="S1" i="9"/>
  <c r="T1" i="9"/>
  <c r="U1" i="9"/>
  <c r="V1" i="9"/>
  <c r="W1" i="9"/>
  <c r="X1" i="9"/>
  <c r="Y1" i="9"/>
  <c r="Z1" i="9"/>
  <c r="AA1" i="9"/>
  <c r="AB1" i="9"/>
  <c r="AC1" i="9"/>
  <c r="AD1" i="9"/>
  <c r="AE1" i="9"/>
  <c r="AF1" i="9"/>
  <c r="AG1" i="9"/>
  <c r="AH1" i="9"/>
  <c r="AI1" i="9"/>
  <c r="AJ1" i="9"/>
  <c r="AK1" i="9"/>
  <c r="AL1" i="9"/>
  <c r="B1" i="9"/>
  <c r="C2" i="8"/>
  <c r="L11" i="17" s="1"/>
  <c r="D3" i="4"/>
  <c r="E3" i="4"/>
  <c r="D4" i="4" l="1"/>
  <c r="E4" i="4"/>
  <c r="D5" i="4" l="1"/>
  <c r="E5" i="4"/>
  <c r="D6" i="4" l="1"/>
  <c r="E6" i="4"/>
  <c r="D7" i="4" l="1"/>
  <c r="E7" i="4"/>
  <c r="D8" i="4" l="1"/>
  <c r="E8" i="4"/>
  <c r="D9" i="4" l="1"/>
  <c r="E9" i="4"/>
  <c r="D10" i="4" l="1"/>
  <c r="E10" i="4"/>
  <c r="D11" i="4" l="1"/>
  <c r="E11" i="4"/>
  <c r="D12" i="4" l="1"/>
  <c r="E12" i="4"/>
  <c r="D13" i="4" l="1"/>
  <c r="E13" i="4"/>
  <c r="D14" i="4" l="1"/>
  <c r="E14" i="4"/>
  <c r="D15" i="4" l="1"/>
  <c r="E15" i="4"/>
  <c r="D16" i="4" l="1"/>
  <c r="E16" i="4"/>
  <c r="D17" i="4" l="1"/>
  <c r="E17" i="4"/>
  <c r="D18" i="4" l="1"/>
  <c r="E18" i="4"/>
  <c r="D19" i="4" l="1"/>
  <c r="E19" i="4"/>
  <c r="D20" i="4" l="1"/>
  <c r="E20" i="4"/>
  <c r="D21" i="4" l="1"/>
  <c r="E21" i="4"/>
  <c r="D22" i="4" l="1"/>
  <c r="E22" i="4"/>
  <c r="D23" i="4" l="1"/>
  <c r="E23" i="4"/>
  <c r="D24" i="4" l="1"/>
  <c r="E24" i="4"/>
  <c r="D25" i="4" l="1"/>
  <c r="E25" i="4"/>
  <c r="D26" i="4" l="1"/>
  <c r="E26" i="4"/>
  <c r="D27" i="4" l="1"/>
  <c r="E27" i="4"/>
  <c r="D28" i="4" l="1"/>
  <c r="E28" i="4"/>
  <c r="D29" i="4" l="1"/>
  <c r="E29" i="4"/>
  <c r="D30" i="4" l="1"/>
  <c r="E30" i="4"/>
  <c r="D31" i="4" l="1"/>
  <c r="E31" i="4"/>
  <c r="D32" i="4" l="1"/>
  <c r="E32" i="4"/>
  <c r="D33" i="4" l="1"/>
  <c r="E33" i="4"/>
  <c r="D34" i="4" l="1"/>
  <c r="E34" i="4"/>
  <c r="D35" i="4" l="1"/>
  <c r="E35" i="4"/>
  <c r="D36" i="4" l="1"/>
  <c r="E36" i="4"/>
  <c r="D37" i="4" l="1"/>
  <c r="E37" i="4"/>
  <c r="D38" i="4" l="1"/>
  <c r="E38" i="4"/>
  <c r="D39" i="4" l="1"/>
  <c r="E39" i="4"/>
  <c r="D40" i="4" l="1"/>
  <c r="E40" i="4"/>
  <c r="D41" i="4" l="1"/>
  <c r="E41" i="4"/>
  <c r="D42" i="4" l="1"/>
  <c r="E42" i="4"/>
  <c r="D43" i="4" l="1"/>
  <c r="E43" i="4"/>
  <c r="D44" i="4" l="1"/>
  <c r="E44" i="4"/>
  <c r="D45" i="4" l="1"/>
  <c r="E45" i="4"/>
  <c r="D46" i="4" l="1"/>
  <c r="E46" i="4"/>
  <c r="D47" i="4" l="1"/>
  <c r="E47" i="4"/>
  <c r="D48" i="4" l="1"/>
  <c r="E48" i="4"/>
  <c r="D49" i="4" l="1"/>
  <c r="E49" i="4"/>
  <c r="D50" i="4" l="1"/>
  <c r="E50" i="4"/>
  <c r="D51" i="4" l="1"/>
  <c r="E51" i="4"/>
  <c r="D52" i="4" l="1"/>
  <c r="E52" i="4"/>
  <c r="D53" i="4" l="1"/>
  <c r="E53" i="4"/>
  <c r="D54" i="4" l="1"/>
  <c r="E54" i="4"/>
  <c r="D55" i="4" l="1"/>
  <c r="E55" i="4"/>
  <c r="D56" i="4" l="1"/>
  <c r="E56" i="4"/>
  <c r="D57" i="4" l="1"/>
  <c r="E57" i="4"/>
  <c r="D58" i="4" l="1"/>
  <c r="E58" i="4"/>
  <c r="D59" i="4" l="1"/>
  <c r="E59" i="4"/>
  <c r="D60" i="4" l="1"/>
  <c r="E60" i="4"/>
  <c r="D61" i="4" l="1"/>
  <c r="E61" i="4"/>
</calcChain>
</file>

<file path=xl/metadata.xml><?xml version="1.0" encoding="utf-8"?>
<metadata xmlns="http://schemas.openxmlformats.org/spreadsheetml/2006/main" xmlns:xlrd="http://schemas.microsoft.com/office/spreadsheetml/2017/richdata" xmlns:xda="http://schemas.microsoft.com/office/spreadsheetml/2017/dynamicarray">
  <metadataTypes count="2">
    <metadataType name="XLDAPR" minSupportedVersion="120000" copy="1" pasteAll="1" pasteValues="1" merge="1" splitFirst="1" rowColShift="1" clearFormats="1" clearComments="1" assign="1" coerce="1" cellMeta="1"/>
    <metadataType name="XLRICHVALUE" minSupportedVersion="120000" copy="1" pasteAll="1" pasteValues="1" merge="1" splitFirst="1" rowColShift="1" clearFormats="1" clearComments="1" assign="1" coerce="1"/>
  </metadataTypes>
  <futureMetadata name="XLDAPR" count="1">
    <bk>
      <extLst>
        <ext uri="{bdbb8cdc-fa1e-496e-a857-3c3f30c029c3}">
          <xda:dynamicArrayProperties fDynamic="1" fCollapsed="0"/>
        </ext>
      </extLst>
    </bk>
  </futureMetadata>
  <futureMetadata name="XLRICHVALUE" count="1">
    <bk>
      <extLst>
        <ext uri="{3e2802c4-a4d2-4d8b-9148-e3be6c30e623}">
          <xlrd:rvb i="0"/>
        </ext>
      </extLst>
    </bk>
  </futureMetadata>
  <cellMetadata count="1">
    <bk>
      <rc t="1" v="0"/>
    </bk>
  </cellMetadata>
  <valueMetadata count="1">
    <bk>
      <rc t="2" v="0"/>
    </bk>
  </valueMetadata>
</metadata>
</file>

<file path=xl/sharedStrings.xml><?xml version="1.0" encoding="utf-8"?>
<sst xmlns="http://schemas.openxmlformats.org/spreadsheetml/2006/main" count="34286" uniqueCount="5222">
  <si>
    <t>機能リスト</t>
    <rPh sb="0" eb="2">
      <t>キノウ</t>
    </rPh>
    <phoneticPr fontId="1"/>
  </si>
  <si>
    <t>契約コード</t>
    <rPh sb="0" eb="2">
      <t>ケイヤク</t>
    </rPh>
    <phoneticPr fontId="1"/>
  </si>
  <si>
    <t>ClassB</t>
  </si>
  <si>
    <t>ClassD</t>
  </si>
  <si>
    <t>ClassE</t>
  </si>
  <si>
    <t>ClassH</t>
  </si>
  <si>
    <t>ClassI</t>
  </si>
  <si>
    <t>ClassJ</t>
  </si>
  <si>
    <t>ClassK</t>
  </si>
  <si>
    <t>ClassM</t>
  </si>
  <si>
    <t>ClassO</t>
  </si>
  <si>
    <t>ClassR</t>
  </si>
  <si>
    <t>ClassS</t>
  </si>
  <si>
    <t>ClassT</t>
  </si>
  <si>
    <t>ClassU</t>
  </si>
  <si>
    <t>ClassV</t>
  </si>
  <si>
    <t>ClassW</t>
  </si>
  <si>
    <t>ClassX</t>
  </si>
  <si>
    <t>ClassZ</t>
  </si>
  <si>
    <t>Class001</t>
  </si>
  <si>
    <t>Class002</t>
  </si>
  <si>
    <t>Class003</t>
  </si>
  <si>
    <t>Class004</t>
  </si>
  <si>
    <t>Class005</t>
  </si>
  <si>
    <t>Class006</t>
  </si>
  <si>
    <t>Class007</t>
  </si>
  <si>
    <t>Class008</t>
  </si>
  <si>
    <t>Class009</t>
  </si>
  <si>
    <t>Class010</t>
  </si>
  <si>
    <t>Class011</t>
  </si>
  <si>
    <t>Class012</t>
  </si>
  <si>
    <t>Class013</t>
  </si>
  <si>
    <t>Class014</t>
  </si>
  <si>
    <t>Class015</t>
  </si>
  <si>
    <t>Class016</t>
  </si>
  <si>
    <t>Class017</t>
  </si>
  <si>
    <t>Class018</t>
  </si>
  <si>
    <t>Class019</t>
  </si>
  <si>
    <t>Class020</t>
  </si>
  <si>
    <t>Class021</t>
  </si>
  <si>
    <t>Class022</t>
  </si>
  <si>
    <t>Class023</t>
  </si>
  <si>
    <t>Class024</t>
  </si>
  <si>
    <t>Class025</t>
  </si>
  <si>
    <t>Class026</t>
  </si>
  <si>
    <t>Class027</t>
  </si>
  <si>
    <t>Class028</t>
  </si>
  <si>
    <t>Class029</t>
  </si>
  <si>
    <t>Class030</t>
  </si>
  <si>
    <t>Class031</t>
  </si>
  <si>
    <t>Class032</t>
  </si>
  <si>
    <t>Class034</t>
  </si>
  <si>
    <t>Class035</t>
  </si>
  <si>
    <t>Class036</t>
  </si>
  <si>
    <t>Class037</t>
  </si>
  <si>
    <t>Class038</t>
  </si>
  <si>
    <t>Class039</t>
  </si>
  <si>
    <t>Class040</t>
  </si>
  <si>
    <t>Class041</t>
  </si>
  <si>
    <t>Class042</t>
  </si>
  <si>
    <t>Class043</t>
  </si>
  <si>
    <t>Class044</t>
  </si>
  <si>
    <t>Class045</t>
  </si>
  <si>
    <t>Class046</t>
  </si>
  <si>
    <t>Class047</t>
  </si>
  <si>
    <t>Class048</t>
  </si>
  <si>
    <t>Class049</t>
  </si>
  <si>
    <t>Class050</t>
  </si>
  <si>
    <t>Class051</t>
  </si>
  <si>
    <t>Class052</t>
  </si>
  <si>
    <t>Class053</t>
  </si>
  <si>
    <t>Class054</t>
  </si>
  <si>
    <t>Class055</t>
  </si>
  <si>
    <t>Class056</t>
  </si>
  <si>
    <t>Class057</t>
  </si>
  <si>
    <t>Class058</t>
  </si>
  <si>
    <t>Class059</t>
  </si>
  <si>
    <t>Class060</t>
  </si>
  <si>
    <t>Class061</t>
  </si>
  <si>
    <t>Class062</t>
  </si>
  <si>
    <t>Class063</t>
  </si>
  <si>
    <t>Class064</t>
  </si>
  <si>
    <t>Class065</t>
  </si>
  <si>
    <t>Class066</t>
  </si>
  <si>
    <t>Class067</t>
  </si>
  <si>
    <t>Class068</t>
  </si>
  <si>
    <t>Class069</t>
  </si>
  <si>
    <t>Class070</t>
  </si>
  <si>
    <t>Class071</t>
  </si>
  <si>
    <t>Class072</t>
  </si>
  <si>
    <t>Class073</t>
  </si>
  <si>
    <t>Class074</t>
  </si>
  <si>
    <t>Class075</t>
  </si>
  <si>
    <t>Class076</t>
  </si>
  <si>
    <t>Class077</t>
  </si>
  <si>
    <t>Class078</t>
  </si>
  <si>
    <t>Class079</t>
  </si>
  <si>
    <t>Class080</t>
  </si>
  <si>
    <t>Class081</t>
  </si>
  <si>
    <t>Class082</t>
  </si>
  <si>
    <t>Class083</t>
  </si>
  <si>
    <t>Class084</t>
  </si>
  <si>
    <t>Class085</t>
  </si>
  <si>
    <t>Class086</t>
  </si>
  <si>
    <t>Class087</t>
  </si>
  <si>
    <t>Class088</t>
  </si>
  <si>
    <t>Class089</t>
  </si>
  <si>
    <t>Class090</t>
  </si>
  <si>
    <t>Class091</t>
  </si>
  <si>
    <t>Class092</t>
  </si>
  <si>
    <t>Class093</t>
  </si>
  <si>
    <t>Class094</t>
  </si>
  <si>
    <t>Class095</t>
  </si>
  <si>
    <t>Class096</t>
  </si>
  <si>
    <t>Class097</t>
  </si>
  <si>
    <t>Class098</t>
  </si>
  <si>
    <t>Class099</t>
  </si>
  <si>
    <t>Class100</t>
  </si>
  <si>
    <t>Class101</t>
  </si>
  <si>
    <t>Class102</t>
  </si>
  <si>
    <t>Class103</t>
  </si>
  <si>
    <t>Class104</t>
  </si>
  <si>
    <t>Class105</t>
  </si>
  <si>
    <t>Class106</t>
  </si>
  <si>
    <t>Class107</t>
  </si>
  <si>
    <t>Class108</t>
  </si>
  <si>
    <t>Class109</t>
  </si>
  <si>
    <t>Class110</t>
  </si>
  <si>
    <t>Class111</t>
  </si>
  <si>
    <t>Class112</t>
  </si>
  <si>
    <t>Class113</t>
  </si>
  <si>
    <t>Class114</t>
  </si>
  <si>
    <t>Class115</t>
  </si>
  <si>
    <t>Class116</t>
  </si>
  <si>
    <t>Class117</t>
  </si>
  <si>
    <t>Class118</t>
  </si>
  <si>
    <t>Class119</t>
  </si>
  <si>
    <t>Class120</t>
  </si>
  <si>
    <t>Class121</t>
  </si>
  <si>
    <t>Class123</t>
  </si>
  <si>
    <t>Class124</t>
  </si>
  <si>
    <t>Class125</t>
  </si>
  <si>
    <t>Class126</t>
  </si>
  <si>
    <t>Class127</t>
  </si>
  <si>
    <t>Class128</t>
  </si>
  <si>
    <t>Class129</t>
  </si>
  <si>
    <t>Class130</t>
  </si>
  <si>
    <t>Class131</t>
  </si>
  <si>
    <t>Class132</t>
  </si>
  <si>
    <t>Class133</t>
  </si>
  <si>
    <t>Class134</t>
  </si>
  <si>
    <t>Class135</t>
  </si>
  <si>
    <t>Class136</t>
  </si>
  <si>
    <t>Class137</t>
  </si>
  <si>
    <t>Class138</t>
  </si>
  <si>
    <t>Class139</t>
  </si>
  <si>
    <t>Class140</t>
  </si>
  <si>
    <t>Class141</t>
  </si>
  <si>
    <t>Class142</t>
  </si>
  <si>
    <t>Class143</t>
  </si>
  <si>
    <t>Class144</t>
  </si>
  <si>
    <t>Class145</t>
  </si>
  <si>
    <t>Class146</t>
  </si>
  <si>
    <t>Class147</t>
  </si>
  <si>
    <t>Class148</t>
  </si>
  <si>
    <t>Class149</t>
  </si>
  <si>
    <t>Class150</t>
  </si>
  <si>
    <t>Class151</t>
  </si>
  <si>
    <t>Class152</t>
  </si>
  <si>
    <t>Class153</t>
  </si>
  <si>
    <t>Class154</t>
  </si>
  <si>
    <t>Class155</t>
  </si>
  <si>
    <t>Class156</t>
  </si>
  <si>
    <t>Class157</t>
  </si>
  <si>
    <t>Class158</t>
  </si>
  <si>
    <t>Class159</t>
  </si>
  <si>
    <t>Class160</t>
  </si>
  <si>
    <t>Class161</t>
  </si>
  <si>
    <t>Class162</t>
  </si>
  <si>
    <t>Class163</t>
  </si>
  <si>
    <t>Class164</t>
  </si>
  <si>
    <t>Class165</t>
  </si>
  <si>
    <t>Class166</t>
  </si>
  <si>
    <t>Class167</t>
  </si>
  <si>
    <t>Class168</t>
  </si>
  <si>
    <t>Class169</t>
  </si>
  <si>
    <t>Class170</t>
  </si>
  <si>
    <t>Class171</t>
  </si>
  <si>
    <t>Class172</t>
  </si>
  <si>
    <t>Class173</t>
  </si>
  <si>
    <t>Class174</t>
  </si>
  <si>
    <t>Class175</t>
  </si>
  <si>
    <t>Class176</t>
  </si>
  <si>
    <t>Class177</t>
  </si>
  <si>
    <t>Class178</t>
  </si>
  <si>
    <t>Class179</t>
  </si>
  <si>
    <t>Class180</t>
  </si>
  <si>
    <t>Class181</t>
  </si>
  <si>
    <t>Class182</t>
  </si>
  <si>
    <t>Class183</t>
  </si>
  <si>
    <t>Class184</t>
  </si>
  <si>
    <t>Class185</t>
  </si>
  <si>
    <t>Class186</t>
  </si>
  <si>
    <t>Class187</t>
  </si>
  <si>
    <t>Class188</t>
  </si>
  <si>
    <t>Class189</t>
  </si>
  <si>
    <t>Class190</t>
  </si>
  <si>
    <t>Class191</t>
  </si>
  <si>
    <t>Class192</t>
  </si>
  <si>
    <t>Class193</t>
  </si>
  <si>
    <t>Class194</t>
  </si>
  <si>
    <t>Class195</t>
  </si>
  <si>
    <t>Class196</t>
  </si>
  <si>
    <t>Class197</t>
  </si>
  <si>
    <t>Class198</t>
  </si>
  <si>
    <t>Class199</t>
  </si>
  <si>
    <t>Class200</t>
  </si>
  <si>
    <t>契約コード</t>
    <rPh sb="0" eb="2">
      <t>ケイヤク</t>
    </rPh>
    <phoneticPr fontId="2"/>
  </si>
  <si>
    <t>顧客コード</t>
    <rPh sb="0" eb="2">
      <t>コキャク</t>
    </rPh>
    <phoneticPr fontId="2"/>
  </si>
  <si>
    <t>契約会社</t>
    <rPh sb="0" eb="4">
      <t>ケイヤクカイシャ</t>
    </rPh>
    <phoneticPr fontId="2"/>
  </si>
  <si>
    <t>施工会社</t>
    <rPh sb="0" eb="4">
      <t>セコウカイシャ</t>
    </rPh>
    <phoneticPr fontId="2"/>
  </si>
  <si>
    <t>契約営業所</t>
    <rPh sb="0" eb="5">
      <t>ケイヤクエイギョウショ</t>
    </rPh>
    <phoneticPr fontId="2"/>
  </si>
  <si>
    <t>主担当営業</t>
    <rPh sb="0" eb="3">
      <t>シュタントウ</t>
    </rPh>
    <rPh sb="3" eb="5">
      <t>エイギョウ</t>
    </rPh>
    <phoneticPr fontId="2"/>
  </si>
  <si>
    <t>副担当営業</t>
    <rPh sb="0" eb="1">
      <t>フク</t>
    </rPh>
    <rPh sb="1" eb="5">
      <t>タントウエイギョウ</t>
    </rPh>
    <phoneticPr fontId="2"/>
  </si>
  <si>
    <t>営業設計</t>
    <rPh sb="0" eb="4">
      <t>エイギョウセッケイ</t>
    </rPh>
    <phoneticPr fontId="2"/>
  </si>
  <si>
    <t>担当監督</t>
    <rPh sb="0" eb="2">
      <t>タントウ</t>
    </rPh>
    <rPh sb="2" eb="4">
      <t>カントク</t>
    </rPh>
    <phoneticPr fontId="2"/>
  </si>
  <si>
    <t>担当IC</t>
    <rPh sb="0" eb="2">
      <t>タントウ</t>
    </rPh>
    <phoneticPr fontId="2"/>
  </si>
  <si>
    <t>管理設計</t>
    <rPh sb="0" eb="4">
      <t>カンリセッケイ</t>
    </rPh>
    <phoneticPr fontId="2"/>
  </si>
  <si>
    <t>所長付</t>
    <rPh sb="0" eb="3">
      <t>ショチョウツキ</t>
    </rPh>
    <phoneticPr fontId="2"/>
  </si>
  <si>
    <t>設計契約</t>
    <rPh sb="0" eb="4">
      <t>セッケイケイヤク</t>
    </rPh>
    <phoneticPr fontId="2"/>
  </si>
  <si>
    <t>契約カウント月</t>
    <rPh sb="0" eb="2">
      <t>ケイヤク</t>
    </rPh>
    <rPh sb="6" eb="7">
      <t>ツキ</t>
    </rPh>
    <phoneticPr fontId="2"/>
  </si>
  <si>
    <t>シート分類</t>
  </si>
  <si>
    <t>工事名</t>
    <rPh sb="0" eb="2">
      <t>コウジ</t>
    </rPh>
    <rPh sb="2" eb="3">
      <t>メイ</t>
    </rPh>
    <phoneticPr fontId="2"/>
  </si>
  <si>
    <t>工事名_カナ</t>
    <rPh sb="0" eb="2">
      <t>コウジ</t>
    </rPh>
    <rPh sb="2" eb="3">
      <t>メイ</t>
    </rPh>
    <phoneticPr fontId="2"/>
  </si>
  <si>
    <t>発注者</t>
    <rPh sb="0" eb="3">
      <t>ハッチュウシャ</t>
    </rPh>
    <phoneticPr fontId="2"/>
  </si>
  <si>
    <t>発注者_カナ</t>
    <rPh sb="0" eb="3">
      <t>ハッチュウシャ</t>
    </rPh>
    <phoneticPr fontId="2"/>
  </si>
  <si>
    <t>工事名個別</t>
    <rPh sb="0" eb="2">
      <t>コウジ</t>
    </rPh>
    <rPh sb="2" eb="3">
      <t>メイ</t>
    </rPh>
    <rPh sb="3" eb="5">
      <t>コベツ</t>
    </rPh>
    <phoneticPr fontId="2"/>
  </si>
  <si>
    <t>工事名個別_カナ</t>
    <rPh sb="0" eb="2">
      <t>コウジ</t>
    </rPh>
    <rPh sb="2" eb="3">
      <t>メイ</t>
    </rPh>
    <rPh sb="3" eb="5">
      <t>コベツ</t>
    </rPh>
    <phoneticPr fontId="2"/>
  </si>
  <si>
    <t>エリア</t>
  </si>
  <si>
    <t>振込先</t>
    <rPh sb="0" eb="3">
      <t>フリコミサキ</t>
    </rPh>
    <phoneticPr fontId="2"/>
  </si>
  <si>
    <t>所属長</t>
    <rPh sb="0" eb="3">
      <t>ショゾクチョウ</t>
    </rPh>
    <phoneticPr fontId="2"/>
  </si>
  <si>
    <t>積算チェック者</t>
  </si>
  <si>
    <t>施主_電話番号</t>
  </si>
  <si>
    <t>施主_携帯電話</t>
  </si>
  <si>
    <t>RW-LVL</t>
  </si>
  <si>
    <t>モジュール</t>
  </si>
  <si>
    <t>派生契約コード</t>
    <rPh sb="0" eb="2">
      <t>ハセイ</t>
    </rPh>
    <rPh sb="2" eb="4">
      <t>ケイヤク</t>
    </rPh>
    <phoneticPr fontId="2"/>
  </si>
  <si>
    <t>案内図_駐車場</t>
    <rPh sb="0" eb="3">
      <t>アンナイズ</t>
    </rPh>
    <rPh sb="4" eb="7">
      <t>チュウシャジョウ</t>
    </rPh>
    <phoneticPr fontId="2"/>
  </si>
  <si>
    <t>案内図_搬入路</t>
    <rPh sb="0" eb="3">
      <t>アンナイズ</t>
    </rPh>
    <rPh sb="4" eb="7">
      <t>ハンニュウロ</t>
    </rPh>
    <phoneticPr fontId="2"/>
  </si>
  <si>
    <t>案内図_小運搬</t>
    <rPh sb="0" eb="3">
      <t>アンナイズ</t>
    </rPh>
    <rPh sb="4" eb="7">
      <t>ショウウンパン</t>
    </rPh>
    <phoneticPr fontId="2"/>
  </si>
  <si>
    <t>法人名</t>
  </si>
  <si>
    <t>法人名カナ</t>
  </si>
  <si>
    <t>法人代表者名</t>
    <rPh sb="0" eb="2">
      <t>ホウジン</t>
    </rPh>
    <rPh sb="2" eb="5">
      <t>ダイヒョウシャ</t>
    </rPh>
    <rPh sb="5" eb="6">
      <t>メイ</t>
    </rPh>
    <phoneticPr fontId="2"/>
  </si>
  <si>
    <t>法人代表者名カナ</t>
    <rPh sb="0" eb="2">
      <t>ホウジン</t>
    </rPh>
    <rPh sb="2" eb="5">
      <t>ダイヒョウシャ</t>
    </rPh>
    <rPh sb="5" eb="6">
      <t>メイ</t>
    </rPh>
    <phoneticPr fontId="2"/>
  </si>
  <si>
    <t>農地転用</t>
    <rPh sb="0" eb="4">
      <t>ノウチテンヨウ</t>
    </rPh>
    <phoneticPr fontId="2"/>
  </si>
  <si>
    <t>その他注意</t>
    <rPh sb="2" eb="3">
      <t>タ</t>
    </rPh>
    <rPh sb="3" eb="5">
      <t>チュウイ</t>
    </rPh>
    <phoneticPr fontId="2"/>
  </si>
  <si>
    <t>事前申請_備考</t>
    <rPh sb="0" eb="4">
      <t>ジゼンシンセイ</t>
    </rPh>
    <rPh sb="5" eb="7">
      <t>ビコウ</t>
    </rPh>
    <phoneticPr fontId="2"/>
  </si>
  <si>
    <t>確認申請_備考</t>
    <rPh sb="0" eb="4">
      <t>カクニンシンセイ</t>
    </rPh>
    <rPh sb="5" eb="7">
      <t>ビコウ</t>
    </rPh>
    <phoneticPr fontId="2"/>
  </si>
  <si>
    <t>その他申請_備考</t>
    <rPh sb="2" eb="3">
      <t>タ</t>
    </rPh>
    <rPh sb="3" eb="5">
      <t>シンセイ</t>
    </rPh>
    <rPh sb="6" eb="8">
      <t>ビコウ</t>
    </rPh>
    <phoneticPr fontId="2"/>
  </si>
  <si>
    <t>H=</t>
  </si>
  <si>
    <t>L=</t>
  </si>
  <si>
    <t>建設解体工事_契約</t>
  </si>
  <si>
    <t>建設解体工事_業者</t>
  </si>
  <si>
    <t>敷地造成工事_契約</t>
  </si>
  <si>
    <t>敷地造成工事_業者</t>
  </si>
  <si>
    <t>外構工事_契約</t>
  </si>
  <si>
    <t>その他外構業者</t>
  </si>
  <si>
    <t>外構業者</t>
  </si>
  <si>
    <t>役所調査依頼</t>
    <rPh sb="4" eb="6">
      <t>イライ</t>
    </rPh>
    <phoneticPr fontId="2"/>
  </si>
  <si>
    <t>担当役員</t>
    <rPh sb="0" eb="4">
      <t>タントウヤクイン</t>
    </rPh>
    <phoneticPr fontId="2"/>
  </si>
  <si>
    <t>エリア担当者</t>
    <rPh sb="3" eb="6">
      <t>タントウシャ</t>
    </rPh>
    <phoneticPr fontId="2"/>
  </si>
  <si>
    <t>新規申請者</t>
    <rPh sb="0" eb="2">
      <t>シンキ</t>
    </rPh>
    <rPh sb="2" eb="5">
      <t>シンセイシャ</t>
    </rPh>
    <phoneticPr fontId="2"/>
  </si>
  <si>
    <t>管理設計承認者</t>
  </si>
  <si>
    <t>所属長承認者</t>
  </si>
  <si>
    <t>着工要因承認者</t>
  </si>
  <si>
    <t>専務承認者</t>
  </si>
  <si>
    <t>総務承認者</t>
  </si>
  <si>
    <t>役員承認者</t>
  </si>
  <si>
    <t>差戻し者</t>
  </si>
  <si>
    <t>新規申請処理内容</t>
    <rPh sb="0" eb="2">
      <t>シンキ</t>
    </rPh>
    <rPh sb="2" eb="4">
      <t>シンセイ</t>
    </rPh>
    <phoneticPr fontId="2"/>
  </si>
  <si>
    <t>管理設計処理内容</t>
  </si>
  <si>
    <t>所属長処理内容</t>
  </si>
  <si>
    <t>着工要因処理内容</t>
  </si>
  <si>
    <t>専務処理内容</t>
  </si>
  <si>
    <t>総務処理内容</t>
  </si>
  <si>
    <t>役員処理内容</t>
  </si>
  <si>
    <t>差戻し内容</t>
    <rPh sb="0" eb="2">
      <t>サシモド</t>
    </rPh>
    <rPh sb="3" eb="5">
      <t>ナイヨウ</t>
    </rPh>
    <phoneticPr fontId="2"/>
  </si>
  <si>
    <t>[設契]新規申請者</t>
  </si>
  <si>
    <t>[設契]管理設計承認者</t>
  </si>
  <si>
    <t>[設契]所属長承認者</t>
  </si>
  <si>
    <t>[設契]着工要因承認者</t>
  </si>
  <si>
    <t>[設契]専務承認者</t>
  </si>
  <si>
    <t>[設契]総務承認者</t>
  </si>
  <si>
    <t>[設契]役員承認者</t>
  </si>
  <si>
    <t>[設契]差戻し者</t>
  </si>
  <si>
    <t>設計契約→本契約</t>
    <rPh sb="0" eb="4">
      <t>セッケイ</t>
    </rPh>
    <rPh sb="5" eb="8">
      <t>ホン</t>
    </rPh>
    <phoneticPr fontId="2"/>
  </si>
  <si>
    <t>[設契]新規申請処理内容</t>
  </si>
  <si>
    <t>[設契]管理設計処理内容</t>
  </si>
  <si>
    <t>[設契]所属長処理内容</t>
  </si>
  <si>
    <t>[設契]着工要因処理内容</t>
  </si>
  <si>
    <t>[設契]専務処理内容</t>
  </si>
  <si>
    <t>[設契]総務処理内容</t>
  </si>
  <si>
    <t>[設契]役員処理内容</t>
  </si>
  <si>
    <t>[設契]差戻し内容</t>
    <rPh sb="4" eb="6">
      <t>サシモド</t>
    </rPh>
    <rPh sb="7" eb="9">
      <t>ナイヨウ</t>
    </rPh>
    <phoneticPr fontId="2"/>
  </si>
  <si>
    <t>営業設計</t>
  </si>
  <si>
    <t>担当監督</t>
  </si>
  <si>
    <t>担当IC</t>
  </si>
  <si>
    <t>管理設計</t>
  </si>
  <si>
    <t>閲覧許可</t>
    <rPh sb="0" eb="2">
      <t>エツラン</t>
    </rPh>
    <rPh sb="2" eb="4">
      <t>キョカ</t>
    </rPh>
    <phoneticPr fontId="2"/>
  </si>
  <si>
    <t>[WF]着工要因GR</t>
  </si>
  <si>
    <t>[WF]確認申請GR</t>
  </si>
  <si>
    <t>[WF]専務</t>
  </si>
  <si>
    <t>[WF]総務GR</t>
  </si>
  <si>
    <t>[WF]最終確認者</t>
  </si>
  <si>
    <t>申請状況</t>
  </si>
  <si>
    <t>工期計算ID</t>
  </si>
  <si>
    <t>お客様データID</t>
    <rPh sb="1" eb="3">
      <t>キャクサマ</t>
    </rPh>
    <phoneticPr fontId="2"/>
  </si>
  <si>
    <t/>
  </si>
  <si>
    <t>NumA</t>
  </si>
  <si>
    <t>DateA</t>
  </si>
  <si>
    <t>作成日</t>
    <rPh sb="0" eb="3">
      <t>サクセイビ</t>
    </rPh>
    <phoneticPr fontId="2"/>
  </si>
  <si>
    <t>DescriptionA</t>
  </si>
  <si>
    <t>支払情報JSON</t>
    <rPh sb="0" eb="4">
      <t>シハライジョウホウ</t>
    </rPh>
    <phoneticPr fontId="2"/>
  </si>
  <si>
    <t>CheckA</t>
  </si>
  <si>
    <t>法人チェック</t>
    <rPh sb="0" eb="2">
      <t>ホウジン</t>
    </rPh>
    <phoneticPr fontId="2"/>
  </si>
  <si>
    <t>NumB</t>
  </si>
  <si>
    <t>DateB</t>
  </si>
  <si>
    <t>DescriptionB</t>
  </si>
  <si>
    <t>A.建物工事見積書JSON</t>
    <rPh sb="2" eb="4">
      <t>タテモノ</t>
    </rPh>
    <rPh sb="4" eb="6">
      <t>コウジ</t>
    </rPh>
    <rPh sb="6" eb="9">
      <t>ミツモリショ</t>
    </rPh>
    <phoneticPr fontId="2"/>
  </si>
  <si>
    <t>CheckB</t>
  </si>
  <si>
    <t>派生コードチェック</t>
    <rPh sb="0" eb="2">
      <t>ハセイ</t>
    </rPh>
    <phoneticPr fontId="2"/>
  </si>
  <si>
    <t>NumC</t>
  </si>
  <si>
    <t>DateC</t>
  </si>
  <si>
    <t>DescriptionC</t>
  </si>
  <si>
    <t>B.追加変更工事見積書JSON</t>
  </si>
  <si>
    <t>CheckC</t>
  </si>
  <si>
    <t>NumD</t>
  </si>
  <si>
    <t>契約日</t>
    <rPh sb="0" eb="3">
      <t>ケイヤクビ</t>
    </rPh>
    <phoneticPr fontId="2"/>
  </si>
  <si>
    <t>DescriptionD</t>
  </si>
  <si>
    <t>C.付帯工事見積書JSON</t>
  </si>
  <si>
    <t>CheckD</t>
  </si>
  <si>
    <t>案内図PDF</t>
    <rPh sb="0" eb="3">
      <t>アンナイズ</t>
    </rPh>
    <phoneticPr fontId="2"/>
  </si>
  <si>
    <t>NumE</t>
  </si>
  <si>
    <t>設計契約日</t>
    <rPh sb="0" eb="5">
      <t>セッケイケイヤクビ</t>
    </rPh>
    <phoneticPr fontId="2"/>
  </si>
  <si>
    <t>DescriptionE</t>
  </si>
  <si>
    <t>D.値引きなどJSON</t>
  </si>
  <si>
    <t>CheckE</t>
  </si>
  <si>
    <t>NumF</t>
  </si>
  <si>
    <t>DateF</t>
  </si>
  <si>
    <t>DescriptionF</t>
  </si>
  <si>
    <t>■総計JSON</t>
  </si>
  <si>
    <t>CheckF</t>
  </si>
  <si>
    <t>NumG</t>
  </si>
  <si>
    <t>DateG</t>
  </si>
  <si>
    <t>着工予定参考日</t>
    <rPh sb="0" eb="2">
      <t>チャッコウ</t>
    </rPh>
    <rPh sb="2" eb="4">
      <t>ヨテイ</t>
    </rPh>
    <rPh sb="4" eb="6">
      <t>サンコウ</t>
    </rPh>
    <rPh sb="6" eb="7">
      <t>ビ</t>
    </rPh>
    <phoneticPr fontId="2"/>
  </si>
  <si>
    <t>DescriptionG</t>
  </si>
  <si>
    <t>CheckG</t>
  </si>
  <si>
    <t>NumH</t>
  </si>
  <si>
    <t>着工予定日</t>
    <rPh sb="0" eb="2">
      <t>チャッコウ</t>
    </rPh>
    <rPh sb="2" eb="4">
      <t>ヨテイ</t>
    </rPh>
    <rPh sb="4" eb="5">
      <t>ビ</t>
    </rPh>
    <phoneticPr fontId="5"/>
  </si>
  <si>
    <t>DescriptionH</t>
  </si>
  <si>
    <t>CheckH</t>
  </si>
  <si>
    <t>NumI</t>
  </si>
  <si>
    <t>DateI</t>
  </si>
  <si>
    <t>上棟予定参考日</t>
    <rPh sb="0" eb="2">
      <t>ジョウトウ</t>
    </rPh>
    <rPh sb="2" eb="4">
      <t>ヨテイ</t>
    </rPh>
    <rPh sb="4" eb="6">
      <t>サンコウ</t>
    </rPh>
    <rPh sb="6" eb="7">
      <t>ビ</t>
    </rPh>
    <phoneticPr fontId="2"/>
  </si>
  <si>
    <t>DescriptionI</t>
  </si>
  <si>
    <t>CheckI</t>
  </si>
  <si>
    <t>NumJ</t>
  </si>
  <si>
    <t>上棟予定日</t>
    <rPh sb="0" eb="2">
      <t>ジョウトウ</t>
    </rPh>
    <rPh sb="2" eb="5">
      <t>ヨテイビ</t>
    </rPh>
    <phoneticPr fontId="5"/>
  </si>
  <si>
    <t>DescriptionJ</t>
  </si>
  <si>
    <t>CheckJ</t>
  </si>
  <si>
    <t>NumK</t>
  </si>
  <si>
    <t>DateK</t>
  </si>
  <si>
    <t>引渡予定参考日</t>
    <rPh sb="0" eb="2">
      <t>ヒキワタシ</t>
    </rPh>
    <rPh sb="2" eb="4">
      <t>ヨテイ</t>
    </rPh>
    <rPh sb="4" eb="6">
      <t>サンコウ</t>
    </rPh>
    <rPh sb="6" eb="7">
      <t>ビ</t>
    </rPh>
    <phoneticPr fontId="2"/>
  </si>
  <si>
    <t>DescriptionK</t>
  </si>
  <si>
    <t>CheckK</t>
  </si>
  <si>
    <t>NumL</t>
  </si>
  <si>
    <t>引渡予定日</t>
    <rPh sb="0" eb="2">
      <t>ヒキワタシ</t>
    </rPh>
    <rPh sb="2" eb="5">
      <t>ヨテイビ</t>
    </rPh>
    <phoneticPr fontId="5"/>
  </si>
  <si>
    <t>DescriptionL</t>
  </si>
  <si>
    <t>その他備考</t>
    <rPh sb="2" eb="3">
      <t>タ</t>
    </rPh>
    <rPh sb="3" eb="5">
      <t>ビコウ</t>
    </rPh>
    <phoneticPr fontId="2"/>
  </si>
  <si>
    <t>CheckL</t>
  </si>
  <si>
    <t>NumM</t>
  </si>
  <si>
    <t>DateM</t>
  </si>
  <si>
    <t>追加変更期限</t>
    <rPh sb="0" eb="2">
      <t>ツイカ</t>
    </rPh>
    <rPh sb="2" eb="4">
      <t>ヘンコウ</t>
    </rPh>
    <rPh sb="4" eb="6">
      <t>キゲン</t>
    </rPh>
    <phoneticPr fontId="5"/>
  </si>
  <si>
    <t>DescriptionM</t>
  </si>
  <si>
    <t>支払備考</t>
    <rPh sb="0" eb="2">
      <t>シハラ</t>
    </rPh>
    <rPh sb="2" eb="4">
      <t>ビコウ</t>
    </rPh>
    <phoneticPr fontId="2"/>
  </si>
  <si>
    <t>CheckM</t>
  </si>
  <si>
    <t>NumN</t>
  </si>
  <si>
    <t>DateN</t>
  </si>
  <si>
    <t>DescriptionN</t>
  </si>
  <si>
    <t>見積備考</t>
    <rPh sb="0" eb="2">
      <t>ミツ</t>
    </rPh>
    <rPh sb="2" eb="4">
      <t>ビコウ</t>
    </rPh>
    <phoneticPr fontId="2"/>
  </si>
  <si>
    <t>CheckN</t>
  </si>
  <si>
    <t>NumO</t>
  </si>
  <si>
    <t>DateO</t>
  </si>
  <si>
    <t>DescriptionO</t>
  </si>
  <si>
    <t>CheckO</t>
  </si>
  <si>
    <t>NumP</t>
  </si>
  <si>
    <t>DateP</t>
  </si>
  <si>
    <t>DescriptionP</t>
  </si>
  <si>
    <t>CheckP</t>
  </si>
  <si>
    <t>NumQ</t>
  </si>
  <si>
    <t>DateQ</t>
  </si>
  <si>
    <t>DescriptionQ</t>
  </si>
  <si>
    <t>CheckQ</t>
  </si>
  <si>
    <t>NumR</t>
  </si>
  <si>
    <t>DateR</t>
  </si>
  <si>
    <t>DescriptionR</t>
  </si>
  <si>
    <t>CheckR</t>
  </si>
  <si>
    <t>NumS</t>
  </si>
  <si>
    <t>DateS</t>
  </si>
  <si>
    <t>DescriptionS</t>
  </si>
  <si>
    <t>NumT</t>
  </si>
  <si>
    <t>DateT</t>
  </si>
  <si>
    <t>DescriptionT</t>
  </si>
  <si>
    <t>CheckT</t>
  </si>
  <si>
    <t>NumU</t>
  </si>
  <si>
    <t>DateU</t>
  </si>
  <si>
    <t>DescriptionU</t>
  </si>
  <si>
    <t>CheckU</t>
  </si>
  <si>
    <t>NumV</t>
  </si>
  <si>
    <t>DateV</t>
  </si>
  <si>
    <t>DescriptionV</t>
  </si>
  <si>
    <t>CheckV</t>
  </si>
  <si>
    <t>NumW</t>
  </si>
  <si>
    <t>DateW</t>
  </si>
  <si>
    <t>DescriptionW</t>
  </si>
  <si>
    <t>CheckW</t>
  </si>
  <si>
    <t>NumX</t>
  </si>
  <si>
    <t>DateX</t>
  </si>
  <si>
    <t>DescriptionX</t>
  </si>
  <si>
    <t>CheckX</t>
  </si>
  <si>
    <t>NumY</t>
  </si>
  <si>
    <t>DateY</t>
  </si>
  <si>
    <t>DescriptionY</t>
  </si>
  <si>
    <t>CheckY</t>
  </si>
  <si>
    <t>NumZ</t>
  </si>
  <si>
    <t>DateZ</t>
  </si>
  <si>
    <t>DescriptionZ</t>
  </si>
  <si>
    <t>CheckZ</t>
  </si>
  <si>
    <t>Num001</t>
  </si>
  <si>
    <t>Date001</t>
  </si>
  <si>
    <t>Description001</t>
  </si>
  <si>
    <t>契約会社json</t>
    <rPh sb="0" eb="2">
      <t>ケイヤク</t>
    </rPh>
    <rPh sb="2" eb="4">
      <t>カイシャ</t>
    </rPh>
    <phoneticPr fontId="2"/>
  </si>
  <si>
    <t>Check001</t>
  </si>
  <si>
    <t>契約書</t>
  </si>
  <si>
    <t>Num002</t>
  </si>
  <si>
    <t>Date002</t>
  </si>
  <si>
    <t>Description002</t>
  </si>
  <si>
    <t>施工会社json</t>
    <rPh sb="0" eb="2">
      <t>セコウ</t>
    </rPh>
    <rPh sb="2" eb="4">
      <t>カイシャ</t>
    </rPh>
    <phoneticPr fontId="2"/>
  </si>
  <si>
    <t>Check002</t>
  </si>
  <si>
    <t>資金計画</t>
  </si>
  <si>
    <t>Num003</t>
  </si>
  <si>
    <t>Date003</t>
  </si>
  <si>
    <t>Description003</t>
  </si>
  <si>
    <t>契約営業所json</t>
    <rPh sb="0" eb="2">
      <t>ケイヤク</t>
    </rPh>
    <rPh sb="2" eb="5">
      <t>エイギョウショ</t>
    </rPh>
    <phoneticPr fontId="2"/>
  </si>
  <si>
    <t>Check003</t>
  </si>
  <si>
    <t>契約図面</t>
  </si>
  <si>
    <t>Num004</t>
  </si>
  <si>
    <t>Date004</t>
  </si>
  <si>
    <t>Description004</t>
  </si>
  <si>
    <t>Check004</t>
  </si>
  <si>
    <t>重要事項説明書</t>
  </si>
  <si>
    <t>Num005</t>
  </si>
  <si>
    <t>施主_勤続年数</t>
    <rPh sb="0" eb="2">
      <t>セシュ</t>
    </rPh>
    <rPh sb="3" eb="7">
      <t>キンゾクネンスウ</t>
    </rPh>
    <phoneticPr fontId="2"/>
  </si>
  <si>
    <t>Date005</t>
  </si>
  <si>
    <t>Description005</t>
  </si>
  <si>
    <t>Check005</t>
  </si>
  <si>
    <t>瑕疵担保・契約内容確認シート</t>
  </si>
  <si>
    <t>Num006</t>
  </si>
  <si>
    <t>Date006</t>
  </si>
  <si>
    <t>Description006</t>
  </si>
  <si>
    <t>Check006</t>
  </si>
  <si>
    <t>本人確認書類</t>
  </si>
  <si>
    <t>Num007</t>
  </si>
  <si>
    <t>Date007</t>
  </si>
  <si>
    <t>Description007</t>
  </si>
  <si>
    <t>Check007</t>
  </si>
  <si>
    <t>省エネ説明リーフレット</t>
  </si>
  <si>
    <t>Num008</t>
  </si>
  <si>
    <t>Date008</t>
  </si>
  <si>
    <t>Description008</t>
  </si>
  <si>
    <t>Check008</t>
  </si>
  <si>
    <t>省エネ適合確認書</t>
  </si>
  <si>
    <t>Num009</t>
  </si>
  <si>
    <t>Date009</t>
  </si>
  <si>
    <t>Description009</t>
  </si>
  <si>
    <t>Check009</t>
  </si>
  <si>
    <t>Num010</t>
  </si>
  <si>
    <t>Date010</t>
  </si>
  <si>
    <t>図確参考日</t>
    <rPh sb="0" eb="1">
      <t>ズ</t>
    </rPh>
    <rPh sb="1" eb="2">
      <t>カク</t>
    </rPh>
    <rPh sb="2" eb="4">
      <t>サンコウ</t>
    </rPh>
    <rPh sb="4" eb="5">
      <t>ヒ</t>
    </rPh>
    <phoneticPr fontId="2"/>
  </si>
  <si>
    <t>Description010</t>
  </si>
  <si>
    <t>Check010</t>
  </si>
  <si>
    <t>Num011</t>
  </si>
  <si>
    <t>1F床面積</t>
  </si>
  <si>
    <t>Date011</t>
  </si>
  <si>
    <t>仕様打参考日</t>
    <rPh sb="0" eb="2">
      <t>シヨウ</t>
    </rPh>
    <rPh sb="2" eb="3">
      <t>ウ</t>
    </rPh>
    <rPh sb="3" eb="5">
      <t>サンコウ</t>
    </rPh>
    <rPh sb="5" eb="6">
      <t>ビ</t>
    </rPh>
    <phoneticPr fontId="2"/>
  </si>
  <si>
    <t>Description011</t>
  </si>
  <si>
    <t>Check011</t>
  </si>
  <si>
    <t>敷地調査関連書類1</t>
  </si>
  <si>
    <t>Num012</t>
  </si>
  <si>
    <t>2F床面積</t>
  </si>
  <si>
    <t>Date012</t>
  </si>
  <si>
    <t>承認図参考日</t>
    <rPh sb="0" eb="3">
      <t>ショウニンズ</t>
    </rPh>
    <rPh sb="3" eb="5">
      <t>サンコウ</t>
    </rPh>
    <rPh sb="5" eb="6">
      <t>ビ</t>
    </rPh>
    <phoneticPr fontId="2"/>
  </si>
  <si>
    <t>Description012</t>
  </si>
  <si>
    <t>Check012</t>
  </si>
  <si>
    <t>敷地調査関連書類2</t>
  </si>
  <si>
    <t>Num013</t>
  </si>
  <si>
    <t>3F床面積</t>
  </si>
  <si>
    <t>Date013</t>
  </si>
  <si>
    <t>地盤調査参考日</t>
    <rPh sb="0" eb="2">
      <t>ジバン</t>
    </rPh>
    <rPh sb="2" eb="4">
      <t>チョウサ</t>
    </rPh>
    <rPh sb="4" eb="6">
      <t>サンコウ</t>
    </rPh>
    <rPh sb="6" eb="7">
      <t>ビ</t>
    </rPh>
    <phoneticPr fontId="2"/>
  </si>
  <si>
    <t>Description013</t>
  </si>
  <si>
    <t>Check013</t>
  </si>
  <si>
    <t>敷地調査関連書類3</t>
  </si>
  <si>
    <t>Num014</t>
  </si>
  <si>
    <t>地下面積</t>
  </si>
  <si>
    <t>Date014</t>
  </si>
  <si>
    <t>事前提出参考日</t>
    <rPh sb="0" eb="2">
      <t>ジゼン</t>
    </rPh>
    <rPh sb="2" eb="4">
      <t>テイシュツ</t>
    </rPh>
    <rPh sb="4" eb="6">
      <t>サンコウ</t>
    </rPh>
    <rPh sb="6" eb="7">
      <t>ビ</t>
    </rPh>
    <phoneticPr fontId="2"/>
  </si>
  <si>
    <t>Description014</t>
  </si>
  <si>
    <t>Check014</t>
  </si>
  <si>
    <t>敷地調査関連書類4</t>
  </si>
  <si>
    <t>Num015</t>
  </si>
  <si>
    <t>延床面積</t>
  </si>
  <si>
    <t>Date015</t>
  </si>
  <si>
    <t>事前決済参考日</t>
    <rPh sb="0" eb="2">
      <t>ジゼン</t>
    </rPh>
    <rPh sb="2" eb="4">
      <t>ケッサイ</t>
    </rPh>
    <rPh sb="4" eb="6">
      <t>サンコウ</t>
    </rPh>
    <rPh sb="6" eb="7">
      <t>ビ</t>
    </rPh>
    <phoneticPr fontId="2"/>
  </si>
  <si>
    <t>Description015</t>
  </si>
  <si>
    <t>Check015</t>
  </si>
  <si>
    <t>敷地調査関連書類5</t>
  </si>
  <si>
    <t>Num016</t>
  </si>
  <si>
    <t>延床面積(坪)</t>
  </si>
  <si>
    <t>Date016</t>
  </si>
  <si>
    <t>確認提出参考日</t>
    <rPh sb="0" eb="2">
      <t>カクニン</t>
    </rPh>
    <rPh sb="2" eb="4">
      <t>テイシュツ</t>
    </rPh>
    <rPh sb="4" eb="6">
      <t>サンコウ</t>
    </rPh>
    <rPh sb="6" eb="7">
      <t>ビ</t>
    </rPh>
    <phoneticPr fontId="2"/>
  </si>
  <si>
    <t>Description016</t>
  </si>
  <si>
    <t>Check016</t>
  </si>
  <si>
    <t>Num017</t>
  </si>
  <si>
    <t>建築面積(平米)</t>
    <rPh sb="5" eb="7">
      <t>ヘイベイ</t>
    </rPh>
    <phoneticPr fontId="2"/>
  </si>
  <si>
    <t>Date017</t>
  </si>
  <si>
    <t>確認決済参考日</t>
    <rPh sb="0" eb="2">
      <t>カクニン</t>
    </rPh>
    <rPh sb="2" eb="4">
      <t>ケッサイ</t>
    </rPh>
    <rPh sb="4" eb="6">
      <t>サンコウ</t>
    </rPh>
    <rPh sb="6" eb="7">
      <t>ビ</t>
    </rPh>
    <phoneticPr fontId="2"/>
  </si>
  <si>
    <t>Description017</t>
  </si>
  <si>
    <t>Check017</t>
  </si>
  <si>
    <t>Num018</t>
  </si>
  <si>
    <t>建築面積(坪)</t>
  </si>
  <si>
    <t>Date018</t>
  </si>
  <si>
    <t>Description018</t>
  </si>
  <si>
    <t>Check018</t>
  </si>
  <si>
    <t>Num019</t>
  </si>
  <si>
    <t>PH階床面積</t>
    <rPh sb="2" eb="3">
      <t>カイ</t>
    </rPh>
    <rPh sb="3" eb="6">
      <t>ユカメンセキ</t>
    </rPh>
    <phoneticPr fontId="2"/>
  </si>
  <si>
    <t>Date019</t>
  </si>
  <si>
    <t>Description019</t>
  </si>
  <si>
    <t>Check019</t>
  </si>
  <si>
    <t>Num020</t>
  </si>
  <si>
    <t>Date020</t>
  </si>
  <si>
    <t>Description020</t>
  </si>
  <si>
    <t>Check020</t>
  </si>
  <si>
    <t>Num021</t>
  </si>
  <si>
    <t>Date021</t>
  </si>
  <si>
    <t>Description021</t>
  </si>
  <si>
    <t>Check021</t>
  </si>
  <si>
    <t>見積根拠書類1</t>
  </si>
  <si>
    <t>Num022</t>
  </si>
  <si>
    <t>Date022</t>
  </si>
  <si>
    <t>Description022</t>
  </si>
  <si>
    <t>Check022</t>
  </si>
  <si>
    <t>見積根拠書類2</t>
  </si>
  <si>
    <t>Num023</t>
  </si>
  <si>
    <t>Date023</t>
  </si>
  <si>
    <t>Description023</t>
  </si>
  <si>
    <t>Check023</t>
  </si>
  <si>
    <t>見積根拠書類3</t>
  </si>
  <si>
    <t>Num024</t>
  </si>
  <si>
    <t>Date024</t>
  </si>
  <si>
    <t>Description024</t>
  </si>
  <si>
    <t>Check024</t>
  </si>
  <si>
    <t>見積根拠書類4</t>
  </si>
  <si>
    <t>Num025</t>
  </si>
  <si>
    <t>Date025</t>
  </si>
  <si>
    <t>Description025</t>
  </si>
  <si>
    <t>Check025</t>
  </si>
  <si>
    <t>見積根拠書類5</t>
  </si>
  <si>
    <t>Num026</t>
  </si>
  <si>
    <t>Date026</t>
  </si>
  <si>
    <t>Description026</t>
  </si>
  <si>
    <t>Check026</t>
  </si>
  <si>
    <t>Num027</t>
  </si>
  <si>
    <t>Date027</t>
  </si>
  <si>
    <t>Description027</t>
  </si>
  <si>
    <t>Check027</t>
  </si>
  <si>
    <t>建上地_郵便番号</t>
    <rPh sb="0" eb="3">
      <t>ケンジョウチ</t>
    </rPh>
    <rPh sb="4" eb="8">
      <t>ユウビンバンゴウ</t>
    </rPh>
    <phoneticPr fontId="3"/>
  </si>
  <si>
    <t>Num028</t>
  </si>
  <si>
    <t>Date028</t>
  </si>
  <si>
    <t>Description028</t>
  </si>
  <si>
    <t>Check028</t>
  </si>
  <si>
    <t>建上地_住居表示</t>
    <rPh sb="0" eb="3">
      <t>ケンジョウチ</t>
    </rPh>
    <rPh sb="4" eb="8">
      <t>ジュウキョヒョウジ</t>
    </rPh>
    <phoneticPr fontId="3"/>
  </si>
  <si>
    <t>Num029</t>
  </si>
  <si>
    <t>Date029</t>
  </si>
  <si>
    <t>Description029</t>
  </si>
  <si>
    <t>Check029</t>
  </si>
  <si>
    <t>建上地_カナ</t>
    <rPh sb="0" eb="3">
      <t>ケンジョウチ</t>
    </rPh>
    <phoneticPr fontId="3"/>
  </si>
  <si>
    <t>Num030</t>
  </si>
  <si>
    <t>Date030</t>
  </si>
  <si>
    <t>Description030</t>
  </si>
  <si>
    <t>Check030</t>
  </si>
  <si>
    <t>建上地_地名地番</t>
    <rPh sb="0" eb="3">
      <t>ケンジョウチ</t>
    </rPh>
    <rPh sb="4" eb="8">
      <t>チメイチバン</t>
    </rPh>
    <phoneticPr fontId="3"/>
  </si>
  <si>
    <t>Num031</t>
  </si>
  <si>
    <t>Date031</t>
  </si>
  <si>
    <t>Description031</t>
  </si>
  <si>
    <t>Check031</t>
  </si>
  <si>
    <t>その他添付書類</t>
  </si>
  <si>
    <t>Num032</t>
  </si>
  <si>
    <t>Date032</t>
  </si>
  <si>
    <t>Description032</t>
  </si>
  <si>
    <t>Check032</t>
  </si>
  <si>
    <t>給排水現場調査報告書</t>
  </si>
  <si>
    <t>契約ブランド</t>
    <rPh sb="0" eb="2">
      <t>ケイヤク</t>
    </rPh>
    <phoneticPr fontId="3"/>
  </si>
  <si>
    <t>Num033</t>
  </si>
  <si>
    <t>Date033</t>
  </si>
  <si>
    <t>Description033</t>
  </si>
  <si>
    <t>Check033</t>
  </si>
  <si>
    <t>合意書(価格高騰)</t>
  </si>
  <si>
    <t>構造</t>
    <rPh sb="0" eb="2">
      <t>コウゾウ</t>
    </rPh>
    <phoneticPr fontId="3"/>
  </si>
  <si>
    <t>Num034</t>
  </si>
  <si>
    <t>Date034</t>
  </si>
  <si>
    <t>Description034</t>
  </si>
  <si>
    <t>Check034</t>
  </si>
  <si>
    <t>省エネ住宅のススメ</t>
  </si>
  <si>
    <t>Num035</t>
  </si>
  <si>
    <t>Date035</t>
  </si>
  <si>
    <t>Description035</t>
  </si>
  <si>
    <t>Check035</t>
  </si>
  <si>
    <t>ポイントクラブ契約時初回登録特典</t>
  </si>
  <si>
    <t>Num036</t>
  </si>
  <si>
    <t>Date036</t>
  </si>
  <si>
    <t>Description036</t>
  </si>
  <si>
    <t>Check036</t>
  </si>
  <si>
    <t>新型コロナウィルス等に関する特約書</t>
  </si>
  <si>
    <t>外部仕様</t>
    <rPh sb="0" eb="2">
      <t>ガイブ</t>
    </rPh>
    <rPh sb="2" eb="4">
      <t>シヨウ</t>
    </rPh>
    <phoneticPr fontId="3"/>
  </si>
  <si>
    <t>Num037</t>
  </si>
  <si>
    <t>Date037</t>
  </si>
  <si>
    <t>Description037</t>
  </si>
  <si>
    <t>Check037</t>
  </si>
  <si>
    <t>電気需給契約申込書(出光昭和シェル)</t>
  </si>
  <si>
    <t>内部仕様</t>
    <rPh sb="0" eb="2">
      <t>ナイブ</t>
    </rPh>
    <rPh sb="2" eb="4">
      <t>シヨウ</t>
    </rPh>
    <phoneticPr fontId="3"/>
  </si>
  <si>
    <t>Num038</t>
  </si>
  <si>
    <t>設計契約金</t>
  </si>
  <si>
    <t>Date038</t>
  </si>
  <si>
    <t>設計契約金支払日</t>
    <rPh sb="0" eb="2">
      <t>セッケイ</t>
    </rPh>
    <rPh sb="2" eb="5">
      <t>ケイヤクキン</t>
    </rPh>
    <rPh sb="5" eb="7">
      <t>シハラ</t>
    </rPh>
    <rPh sb="7" eb="8">
      <t>ビ</t>
    </rPh>
    <phoneticPr fontId="2"/>
  </si>
  <si>
    <t>Description038</t>
  </si>
  <si>
    <t>Check038</t>
  </si>
  <si>
    <t>Num039</t>
  </si>
  <si>
    <t>消費税率</t>
    <rPh sb="0" eb="3">
      <t>ショウヒゼイ</t>
    </rPh>
    <rPh sb="3" eb="4">
      <t>リツ</t>
    </rPh>
    <phoneticPr fontId="2"/>
  </si>
  <si>
    <t>Date039</t>
  </si>
  <si>
    <t>Description039</t>
  </si>
  <si>
    <t>Check039</t>
  </si>
  <si>
    <t>防火</t>
    <rPh sb="0" eb="2">
      <t>ボウカ</t>
    </rPh>
    <phoneticPr fontId="4"/>
  </si>
  <si>
    <t>Num040</t>
  </si>
  <si>
    <t>支払代金(税込)</t>
    <rPh sb="5" eb="7">
      <t>ゼイコミ</t>
    </rPh>
    <phoneticPr fontId="2"/>
  </si>
  <si>
    <t>Date040</t>
  </si>
  <si>
    <t>Description040</t>
  </si>
  <si>
    <t>Check040</t>
  </si>
  <si>
    <t>世帯種別</t>
    <rPh sb="0" eb="2">
      <t>セタイ</t>
    </rPh>
    <rPh sb="2" eb="4">
      <t>シュベツ</t>
    </rPh>
    <phoneticPr fontId="4"/>
  </si>
  <si>
    <t>Num041</t>
  </si>
  <si>
    <t>内税</t>
  </si>
  <si>
    <t>Date041</t>
  </si>
  <si>
    <t>Description041</t>
  </si>
  <si>
    <t>Check041</t>
  </si>
  <si>
    <t>物件種別</t>
    <rPh sb="0" eb="2">
      <t>ブッケン</t>
    </rPh>
    <rPh sb="2" eb="4">
      <t>シュベツ</t>
    </rPh>
    <phoneticPr fontId="4"/>
  </si>
  <si>
    <t>Num042</t>
  </si>
  <si>
    <t>支払代金(税別)</t>
    <rPh sb="5" eb="7">
      <t>ゼイベツ</t>
    </rPh>
    <phoneticPr fontId="2"/>
  </si>
  <si>
    <t>Date042</t>
  </si>
  <si>
    <t>Description042</t>
  </si>
  <si>
    <t>Check042</t>
  </si>
  <si>
    <t>建物種類</t>
    <rPh sb="0" eb="2">
      <t>タテモノ</t>
    </rPh>
    <rPh sb="2" eb="4">
      <t>シュルイ</t>
    </rPh>
    <phoneticPr fontId="4"/>
  </si>
  <si>
    <t>Num043</t>
  </si>
  <si>
    <t>Date043</t>
  </si>
  <si>
    <t>Description043</t>
  </si>
  <si>
    <t>Check043</t>
  </si>
  <si>
    <t>Num044</t>
  </si>
  <si>
    <t>Date044</t>
  </si>
  <si>
    <t>Description044</t>
  </si>
  <si>
    <t>Check044</t>
  </si>
  <si>
    <t>太陽光システム_有無</t>
    <rPh sb="0" eb="3">
      <t>タイヨウコウ</t>
    </rPh>
    <phoneticPr fontId="3"/>
  </si>
  <si>
    <t>Num045</t>
  </si>
  <si>
    <t>A.建物工事_合計</t>
    <rPh sb="7" eb="9">
      <t>ゴウケイ</t>
    </rPh>
    <phoneticPr fontId="2"/>
  </si>
  <si>
    <t>Date045</t>
  </si>
  <si>
    <t>Description045</t>
  </si>
  <si>
    <t>Check045</t>
  </si>
  <si>
    <t>太陽光システム_種類</t>
    <rPh sb="0" eb="3">
      <t>タイヨウコウ</t>
    </rPh>
    <rPh sb="8" eb="10">
      <t>シュルイ</t>
    </rPh>
    <phoneticPr fontId="3"/>
  </si>
  <si>
    <t>Num046</t>
  </si>
  <si>
    <t>B.追加変更工事_合計</t>
    <rPh sb="9" eb="11">
      <t>ゴウケイ</t>
    </rPh>
    <phoneticPr fontId="2"/>
  </si>
  <si>
    <t>Date046</t>
  </si>
  <si>
    <t>Description046</t>
  </si>
  <si>
    <t>Check046</t>
  </si>
  <si>
    <t>Num047</t>
  </si>
  <si>
    <t>C.付帯工事 合計</t>
  </si>
  <si>
    <t>Date047</t>
  </si>
  <si>
    <t>Description047</t>
  </si>
  <si>
    <t>Check047</t>
  </si>
  <si>
    <t>Num048</t>
  </si>
  <si>
    <t>Date048</t>
  </si>
  <si>
    <t>Description048</t>
  </si>
  <si>
    <t>Check048</t>
  </si>
  <si>
    <t>Num049</t>
  </si>
  <si>
    <t>Date049</t>
  </si>
  <si>
    <t>Description049</t>
  </si>
  <si>
    <t>Check049</t>
  </si>
  <si>
    <t>Num050</t>
  </si>
  <si>
    <t>請負金額(税込)</t>
  </si>
  <si>
    <t>Date050</t>
  </si>
  <si>
    <t>Description050</t>
  </si>
  <si>
    <t>案内図_注意事項</t>
    <rPh sb="0" eb="3">
      <t>アンナイズ</t>
    </rPh>
    <rPh sb="4" eb="8">
      <t>チュウイジコウ</t>
    </rPh>
    <phoneticPr fontId="2"/>
  </si>
  <si>
    <t>Check050</t>
  </si>
  <si>
    <t>Num051</t>
  </si>
  <si>
    <t>太陽光請負金額</t>
    <rPh sb="0" eb="3">
      <t>タイヨウコウ</t>
    </rPh>
    <rPh sb="3" eb="5">
      <t>ウケオイ</t>
    </rPh>
    <rPh sb="5" eb="7">
      <t>キンガク</t>
    </rPh>
    <phoneticPr fontId="2"/>
  </si>
  <si>
    <t>Date051</t>
  </si>
  <si>
    <t>Description051</t>
  </si>
  <si>
    <t>Check051</t>
  </si>
  <si>
    <t>営業作成敷地調査報告書</t>
    <rPh sb="0" eb="2">
      <t>エイギョウ</t>
    </rPh>
    <rPh sb="2" eb="4">
      <t>サクセイ</t>
    </rPh>
    <rPh sb="4" eb="6">
      <t>シキチ</t>
    </rPh>
    <rPh sb="6" eb="8">
      <t>チョウサ</t>
    </rPh>
    <rPh sb="8" eb="11">
      <t>ホウコクショ</t>
    </rPh>
    <phoneticPr fontId="6"/>
  </si>
  <si>
    <t>Num052</t>
  </si>
  <si>
    <t>Date052</t>
  </si>
  <si>
    <t>Description052</t>
  </si>
  <si>
    <t>Check052</t>
  </si>
  <si>
    <t>再調査敷地調査報告書</t>
    <rPh sb="0" eb="3">
      <t>サイチョウサ</t>
    </rPh>
    <rPh sb="3" eb="7">
      <t>シキチチョウサ</t>
    </rPh>
    <rPh sb="7" eb="10">
      <t>ホウコクショ</t>
    </rPh>
    <phoneticPr fontId="6"/>
  </si>
  <si>
    <t>Num053</t>
  </si>
  <si>
    <t>支払いと請負の差異</t>
    <rPh sb="0" eb="2">
      <t>シハラ</t>
    </rPh>
    <rPh sb="4" eb="6">
      <t>ウケオイ</t>
    </rPh>
    <rPh sb="7" eb="9">
      <t>サイ</t>
    </rPh>
    <phoneticPr fontId="2"/>
  </si>
  <si>
    <t>Date053</t>
  </si>
  <si>
    <t>Description053</t>
  </si>
  <si>
    <t>Check053</t>
  </si>
  <si>
    <t>Num054</t>
  </si>
  <si>
    <t>Date054</t>
  </si>
  <si>
    <t>Description054</t>
  </si>
  <si>
    <t>Check054</t>
  </si>
  <si>
    <t>Num055</t>
  </si>
  <si>
    <t>Date055</t>
  </si>
  <si>
    <t>Description055</t>
  </si>
  <si>
    <t>Check055</t>
  </si>
  <si>
    <t>Num056</t>
  </si>
  <si>
    <t>Date056</t>
  </si>
  <si>
    <t>Description056</t>
  </si>
  <si>
    <t>Check056</t>
  </si>
  <si>
    <t>営業取得資料⼀式</t>
    <rPh sb="0" eb="2">
      <t>エイギョウ</t>
    </rPh>
    <rPh sb="2" eb="4">
      <t>シュトク</t>
    </rPh>
    <rPh sb="4" eb="6">
      <t>シリョウ</t>
    </rPh>
    <rPh sb="7" eb="8">
      <t>シキ</t>
    </rPh>
    <phoneticPr fontId="6"/>
  </si>
  <si>
    <t>Num057</t>
  </si>
  <si>
    <t>Date057</t>
  </si>
  <si>
    <t>Description057</t>
  </si>
  <si>
    <t>Check057</t>
  </si>
  <si>
    <t>用途地域関係</t>
    <rPh sb="0" eb="2">
      <t>ヨウト</t>
    </rPh>
    <rPh sb="2" eb="4">
      <t>チイキ</t>
    </rPh>
    <rPh sb="4" eb="6">
      <t>カンケイ</t>
    </rPh>
    <phoneticPr fontId="6"/>
  </si>
  <si>
    <t>Num058</t>
  </si>
  <si>
    <t>Date058</t>
  </si>
  <si>
    <t>Description058</t>
  </si>
  <si>
    <t>Check058</t>
  </si>
  <si>
    <t>道路関係</t>
  </si>
  <si>
    <t>Num059</t>
  </si>
  <si>
    <t>Date059</t>
  </si>
  <si>
    <t>Description059</t>
  </si>
  <si>
    <t>Check059</t>
  </si>
  <si>
    <t>上下⽔道関係</t>
  </si>
  <si>
    <t>Num060</t>
  </si>
  <si>
    <t>Date060</t>
  </si>
  <si>
    <t>Description060</t>
  </si>
  <si>
    <t>Check060</t>
  </si>
  <si>
    <t>事前申請①</t>
  </si>
  <si>
    <t>集客事由</t>
    <rPh sb="0" eb="2">
      <t>シュウキャク</t>
    </rPh>
    <rPh sb="2" eb="4">
      <t>ジユウ</t>
    </rPh>
    <phoneticPr fontId="3"/>
  </si>
  <si>
    <t>Num061</t>
  </si>
  <si>
    <t>Date061</t>
  </si>
  <si>
    <t>図面確定日</t>
    <rPh sb="0" eb="5">
      <t>ズメンカクテイビ</t>
    </rPh>
    <phoneticPr fontId="3"/>
  </si>
  <si>
    <t>Description061</t>
  </si>
  <si>
    <t>マニュアル外差異理由</t>
  </si>
  <si>
    <t>Check061</t>
  </si>
  <si>
    <t>事前申請②</t>
  </si>
  <si>
    <t>建物保証</t>
    <rPh sb="0" eb="4">
      <t>タテモノホショウ</t>
    </rPh>
    <phoneticPr fontId="3"/>
  </si>
  <si>
    <t>Num062</t>
  </si>
  <si>
    <t>Date062</t>
  </si>
  <si>
    <t>仕様打合せ日</t>
    <rPh sb="0" eb="2">
      <t>シヨウ</t>
    </rPh>
    <rPh sb="2" eb="4">
      <t>ウチアワ</t>
    </rPh>
    <rPh sb="5" eb="6">
      <t>ヒ</t>
    </rPh>
    <phoneticPr fontId="3"/>
  </si>
  <si>
    <t>Description062</t>
  </si>
  <si>
    <t>サービス/値引き等の内容・理由</t>
  </si>
  <si>
    <t>Check062</t>
  </si>
  <si>
    <t>事前申請③</t>
  </si>
  <si>
    <t>保証年数</t>
    <rPh sb="0" eb="2">
      <t>ホショウ</t>
    </rPh>
    <rPh sb="2" eb="4">
      <t>ネンスウ</t>
    </rPh>
    <phoneticPr fontId="3"/>
  </si>
  <si>
    <t>Num063</t>
  </si>
  <si>
    <t>Date063</t>
  </si>
  <si>
    <t>承認図</t>
    <rPh sb="0" eb="3">
      <t>ショウニンズ</t>
    </rPh>
    <phoneticPr fontId="3"/>
  </si>
  <si>
    <t>Description063</t>
  </si>
  <si>
    <t>その他</t>
    <rPh sb="2" eb="3">
      <t>タ</t>
    </rPh>
    <phoneticPr fontId="3"/>
  </si>
  <si>
    <t>Check063</t>
  </si>
  <si>
    <t>事前申請④</t>
  </si>
  <si>
    <t>瑕疵保険限度額</t>
    <rPh sb="0" eb="4">
      <t>カシホケン</t>
    </rPh>
    <rPh sb="4" eb="7">
      <t>ゲンドガク</t>
    </rPh>
    <phoneticPr fontId="3"/>
  </si>
  <si>
    <t>Num064</t>
  </si>
  <si>
    <t>【本契】契約金額</t>
    <rPh sb="2" eb="3">
      <t>チギリ</t>
    </rPh>
    <rPh sb="4" eb="8">
      <t>ケイヤクキンガク</t>
    </rPh>
    <phoneticPr fontId="2"/>
  </si>
  <si>
    <t>Date064</t>
  </si>
  <si>
    <t>地盤調査</t>
    <rPh sb="0" eb="4">
      <t>ジバンチョウサ</t>
    </rPh>
    <phoneticPr fontId="3"/>
  </si>
  <si>
    <t>Description064</t>
  </si>
  <si>
    <t>Check064</t>
  </si>
  <si>
    <t>事前申請⑤</t>
  </si>
  <si>
    <t>信用状況</t>
    <rPh sb="0" eb="4">
      <t>シンヨウジョウキョウ</t>
    </rPh>
    <phoneticPr fontId="3"/>
  </si>
  <si>
    <t>Num065</t>
  </si>
  <si>
    <t>【本契】粗利益額</t>
    <rPh sb="4" eb="7">
      <t>アラリエキ</t>
    </rPh>
    <rPh sb="7" eb="8">
      <t>ガク</t>
    </rPh>
    <phoneticPr fontId="2"/>
  </si>
  <si>
    <t>Date065</t>
  </si>
  <si>
    <t>資金承認</t>
    <rPh sb="0" eb="4">
      <t>シキンショウニン</t>
    </rPh>
    <phoneticPr fontId="3"/>
  </si>
  <si>
    <t>Description065</t>
  </si>
  <si>
    <t>Check065</t>
  </si>
  <si>
    <t>参考資料</t>
    <rPh sb="0" eb="4">
      <t>サンコウシリョウ</t>
    </rPh>
    <phoneticPr fontId="6"/>
  </si>
  <si>
    <t>家族構成</t>
    <rPh sb="0" eb="4">
      <t>カゾクコウセイ</t>
    </rPh>
    <phoneticPr fontId="3"/>
  </si>
  <si>
    <t>Num066</t>
  </si>
  <si>
    <t>【本契】粗利率</t>
    <rPh sb="4" eb="7">
      <t>アラリリツ</t>
    </rPh>
    <phoneticPr fontId="2"/>
  </si>
  <si>
    <t>Date066</t>
  </si>
  <si>
    <t>地鎮祭</t>
    <rPh sb="0" eb="3">
      <t>ジチンサイ</t>
    </rPh>
    <phoneticPr fontId="3"/>
  </si>
  <si>
    <t>Description066</t>
  </si>
  <si>
    <t>Check066</t>
  </si>
  <si>
    <t>施主との約束</t>
    <rPh sb="0" eb="2">
      <t>セシュ</t>
    </rPh>
    <rPh sb="4" eb="6">
      <t>ヤクソク</t>
    </rPh>
    <phoneticPr fontId="3"/>
  </si>
  <si>
    <t>Num067</t>
  </si>
  <si>
    <t>Date067</t>
  </si>
  <si>
    <t>事前申請_提出予定</t>
    <rPh sb="0" eb="4">
      <t>ジゼンシンセイ</t>
    </rPh>
    <rPh sb="5" eb="9">
      <t>テイシュツヨテイ</t>
    </rPh>
    <phoneticPr fontId="3"/>
  </si>
  <si>
    <t>Description067</t>
  </si>
  <si>
    <t>Check067</t>
  </si>
  <si>
    <t>土地所有者</t>
    <rPh sb="0" eb="2">
      <t>トチ</t>
    </rPh>
    <rPh sb="2" eb="5">
      <t>ショユウシャ</t>
    </rPh>
    <phoneticPr fontId="3"/>
  </si>
  <si>
    <t>Num068</t>
  </si>
  <si>
    <t>Date068</t>
  </si>
  <si>
    <t>事前申請_決裁予定</t>
    <rPh sb="0" eb="4">
      <t>ジゼンシンセイ</t>
    </rPh>
    <rPh sb="5" eb="9">
      <t>ケッサイヨテイ</t>
    </rPh>
    <phoneticPr fontId="3"/>
  </si>
  <si>
    <t>Description068</t>
  </si>
  <si>
    <t>Check068</t>
  </si>
  <si>
    <t>土地所有者_続柄</t>
    <rPh sb="0" eb="2">
      <t>トチ</t>
    </rPh>
    <rPh sb="2" eb="5">
      <t>ショユウシャ</t>
    </rPh>
    <rPh sb="6" eb="8">
      <t>ゾクガラ</t>
    </rPh>
    <phoneticPr fontId="3"/>
  </si>
  <si>
    <t>Num069</t>
  </si>
  <si>
    <t>Date069</t>
  </si>
  <si>
    <t>確認申請_提出予定</t>
    <rPh sb="5" eb="9">
      <t>テイシュツヨテイ</t>
    </rPh>
    <phoneticPr fontId="3"/>
  </si>
  <si>
    <t>Description069</t>
  </si>
  <si>
    <t>Check069</t>
  </si>
  <si>
    <t>地目</t>
    <rPh sb="0" eb="2">
      <t>チモク</t>
    </rPh>
    <phoneticPr fontId="3"/>
  </si>
  <si>
    <t>Num070</t>
  </si>
  <si>
    <t>Date070</t>
  </si>
  <si>
    <t>確認申請_決裁予定</t>
    <rPh sb="5" eb="9">
      <t>ケッサイヨテイ</t>
    </rPh>
    <phoneticPr fontId="3"/>
  </si>
  <si>
    <t>Description070</t>
  </si>
  <si>
    <t>Check070</t>
  </si>
  <si>
    <t>境界杭</t>
    <rPh sb="0" eb="3">
      <t>キョウカイクイ</t>
    </rPh>
    <phoneticPr fontId="3"/>
  </si>
  <si>
    <t>Num071</t>
  </si>
  <si>
    <t>Date071</t>
  </si>
  <si>
    <t>その他申請_提出予定</t>
    <rPh sb="6" eb="10">
      <t>テイシュツヨテイ</t>
    </rPh>
    <phoneticPr fontId="3"/>
  </si>
  <si>
    <t>Description071</t>
  </si>
  <si>
    <t>Check071</t>
  </si>
  <si>
    <t>申請地資料</t>
    <rPh sb="0" eb="2">
      <t>シンセイ</t>
    </rPh>
    <rPh sb="2" eb="3">
      <t>チ</t>
    </rPh>
    <rPh sb="3" eb="5">
      <t>シリョウ</t>
    </rPh>
    <phoneticPr fontId="6"/>
  </si>
  <si>
    <t>仲介業者</t>
    <rPh sb="0" eb="4">
      <t>チュウカイギョウシャ</t>
    </rPh>
    <phoneticPr fontId="3"/>
  </si>
  <si>
    <t>Num072</t>
  </si>
  <si>
    <t>Date072</t>
  </si>
  <si>
    <t>その他申請_決裁予定</t>
    <rPh sb="6" eb="10">
      <t>ケッサイヨテイ</t>
    </rPh>
    <phoneticPr fontId="3"/>
  </si>
  <si>
    <t>Description072</t>
  </si>
  <si>
    <t>Check072</t>
  </si>
  <si>
    <t>申請地以外近隣資料</t>
    <rPh sb="0" eb="2">
      <t>シンセイ</t>
    </rPh>
    <rPh sb="2" eb="3">
      <t>チ</t>
    </rPh>
    <rPh sb="3" eb="5">
      <t>イガイ</t>
    </rPh>
    <rPh sb="5" eb="7">
      <t>キンリン</t>
    </rPh>
    <rPh sb="7" eb="9">
      <t>シリョウ</t>
    </rPh>
    <phoneticPr fontId="6"/>
  </si>
  <si>
    <t>土地残金日</t>
    <rPh sb="0" eb="2">
      <t>トチ</t>
    </rPh>
    <rPh sb="2" eb="5">
      <t>ザンキンビ</t>
    </rPh>
    <phoneticPr fontId="3"/>
  </si>
  <si>
    <t>Num073</t>
  </si>
  <si>
    <t>Date073</t>
  </si>
  <si>
    <t>Description073</t>
  </si>
  <si>
    <t>Check073</t>
  </si>
  <si>
    <t>Num074</t>
  </si>
  <si>
    <t>【設契】契約金額</t>
    <rPh sb="1" eb="2">
      <t>セツ</t>
    </rPh>
    <rPh sb="2" eb="3">
      <t>チギリ</t>
    </rPh>
    <rPh sb="4" eb="8">
      <t>ケイヤクキンガク</t>
    </rPh>
    <phoneticPr fontId="2"/>
  </si>
  <si>
    <t>Date074</t>
  </si>
  <si>
    <t>Description074</t>
  </si>
  <si>
    <t>Check074</t>
  </si>
  <si>
    <t>Num075</t>
  </si>
  <si>
    <t>【設契】粗利益額</t>
    <rPh sb="4" eb="7">
      <t>アラリエキ</t>
    </rPh>
    <rPh sb="7" eb="8">
      <t>ガク</t>
    </rPh>
    <phoneticPr fontId="2"/>
  </si>
  <si>
    <t>Date075</t>
  </si>
  <si>
    <t>Description075</t>
  </si>
  <si>
    <t>Check075</t>
  </si>
  <si>
    <t>Num076</t>
  </si>
  <si>
    <t>【設契】粗利率</t>
    <rPh sb="4" eb="7">
      <t>アラリリツ</t>
    </rPh>
    <phoneticPr fontId="2"/>
  </si>
  <si>
    <t>Date076</t>
  </si>
  <si>
    <t>Description076</t>
  </si>
  <si>
    <t>Check076</t>
  </si>
  <si>
    <t>住宅地図</t>
    <rPh sb="0" eb="3">
      <t>ジュウタクチ</t>
    </rPh>
    <rPh sb="3" eb="4">
      <t>ズ</t>
    </rPh>
    <phoneticPr fontId="6"/>
  </si>
  <si>
    <t>Num077</t>
  </si>
  <si>
    <t>Date077</t>
  </si>
  <si>
    <t>Description077</t>
  </si>
  <si>
    <t>Check077</t>
  </si>
  <si>
    <t>Num078</t>
  </si>
  <si>
    <t>Date078</t>
  </si>
  <si>
    <t>Description078</t>
  </si>
  <si>
    <t>Check078</t>
  </si>
  <si>
    <t>Num079</t>
  </si>
  <si>
    <t>Date079</t>
  </si>
  <si>
    <t>Description079</t>
  </si>
  <si>
    <t>Check079</t>
  </si>
  <si>
    <t>Num080</t>
  </si>
  <si>
    <t>Date080</t>
  </si>
  <si>
    <t>Description080</t>
  </si>
  <si>
    <t>Check080</t>
  </si>
  <si>
    <t>Num081</t>
  </si>
  <si>
    <t>Date081</t>
  </si>
  <si>
    <t>Description081</t>
  </si>
  <si>
    <t>Check081</t>
  </si>
  <si>
    <t>現況写真</t>
  </si>
  <si>
    <t>深基礎</t>
    <rPh sb="0" eb="3">
      <t>フカギソ</t>
    </rPh>
    <phoneticPr fontId="3"/>
  </si>
  <si>
    <t>Num082</t>
  </si>
  <si>
    <t>Date082</t>
  </si>
  <si>
    <t>Description082</t>
  </si>
  <si>
    <t>Check082</t>
  </si>
  <si>
    <t>現況測量図</t>
    <rPh sb="0" eb="2">
      <t>ゲンキョウ</t>
    </rPh>
    <rPh sb="2" eb="4">
      <t>ソクリョウ</t>
    </rPh>
    <rPh sb="4" eb="5">
      <t>ズ</t>
    </rPh>
    <phoneticPr fontId="6"/>
  </si>
  <si>
    <t>Num083</t>
  </si>
  <si>
    <t>Date083</t>
  </si>
  <si>
    <t>Description083</t>
  </si>
  <si>
    <t>Check083</t>
  </si>
  <si>
    <t>給排⽔現地調査書</t>
    <rPh sb="0" eb="2">
      <t>キュウハイ</t>
    </rPh>
    <rPh sb="3" eb="5">
      <t>ゲンチ</t>
    </rPh>
    <rPh sb="5" eb="7">
      <t>チョウサ</t>
    </rPh>
    <rPh sb="7" eb="8">
      <t>ショ</t>
    </rPh>
    <phoneticPr fontId="6"/>
  </si>
  <si>
    <t>Num084</t>
  </si>
  <si>
    <t>Date084</t>
  </si>
  <si>
    <t>Description084</t>
  </si>
  <si>
    <t>Check084</t>
  </si>
  <si>
    <t>地盤調査報告書</t>
    <rPh sb="0" eb="2">
      <t>ジバン</t>
    </rPh>
    <rPh sb="2" eb="4">
      <t>チョウサ</t>
    </rPh>
    <rPh sb="4" eb="7">
      <t>ホウコクショ</t>
    </rPh>
    <phoneticPr fontId="6"/>
  </si>
  <si>
    <t>Num085</t>
  </si>
  <si>
    <t>Date085</t>
  </si>
  <si>
    <t>Description085</t>
  </si>
  <si>
    <t>Check085</t>
  </si>
  <si>
    <t>検査機関</t>
    <rPh sb="0" eb="4">
      <t>ケンサキカン</t>
    </rPh>
    <phoneticPr fontId="3"/>
  </si>
  <si>
    <t>Num086</t>
  </si>
  <si>
    <t>Date086</t>
  </si>
  <si>
    <t>Description086</t>
  </si>
  <si>
    <t>Check086</t>
  </si>
  <si>
    <t>住宅性能評価</t>
    <rPh sb="0" eb="6">
      <t>ジュウタクセイノウヒョウカ</t>
    </rPh>
    <phoneticPr fontId="3"/>
  </si>
  <si>
    <t>Num087</t>
  </si>
  <si>
    <t>Date087</t>
  </si>
  <si>
    <t>Description087</t>
  </si>
  <si>
    <t>Check087</t>
  </si>
  <si>
    <t>フラット35S/財形</t>
    <rPh sb="8" eb="10">
      <t>ザイケイ</t>
    </rPh>
    <phoneticPr fontId="3"/>
  </si>
  <si>
    <t>Num088</t>
  </si>
  <si>
    <t>Date088</t>
  </si>
  <si>
    <t>Description088</t>
  </si>
  <si>
    <t>Check088</t>
  </si>
  <si>
    <t>Num089</t>
  </si>
  <si>
    <t>Date089</t>
  </si>
  <si>
    <t>Description089</t>
  </si>
  <si>
    <t>Check089</t>
  </si>
  <si>
    <t>給水引込工事_有無</t>
    <rPh sb="0" eb="2">
      <t>キュウスイ</t>
    </rPh>
    <rPh sb="2" eb="4">
      <t>ヒキコミ</t>
    </rPh>
    <rPh sb="4" eb="6">
      <t>コウジ</t>
    </rPh>
    <phoneticPr fontId="4"/>
  </si>
  <si>
    <t>Num090</t>
  </si>
  <si>
    <t>Date090</t>
  </si>
  <si>
    <t>給水引込工事_日付</t>
    <rPh sb="0" eb="2">
      <t>キュウスイ</t>
    </rPh>
    <rPh sb="2" eb="4">
      <t>ヒキコミ</t>
    </rPh>
    <rPh sb="4" eb="6">
      <t>コウジ</t>
    </rPh>
    <rPh sb="7" eb="9">
      <t>ヒヅケ</t>
    </rPh>
    <phoneticPr fontId="4"/>
  </si>
  <si>
    <t>Description090</t>
  </si>
  <si>
    <t>Check090</t>
  </si>
  <si>
    <t>排水引込工事_有無</t>
    <rPh sb="7" eb="9">
      <t>ウム</t>
    </rPh>
    <phoneticPr fontId="3"/>
  </si>
  <si>
    <t>Num091</t>
  </si>
  <si>
    <t>Date091</t>
  </si>
  <si>
    <t>排水引込工事_日付</t>
    <rPh sb="7" eb="9">
      <t>ヒヅケ</t>
    </rPh>
    <phoneticPr fontId="3"/>
  </si>
  <si>
    <t>Description091</t>
  </si>
  <si>
    <t>Check091</t>
  </si>
  <si>
    <t>事前申請①</t>
    <rPh sb="0" eb="2">
      <t>ジゼン</t>
    </rPh>
    <rPh sb="2" eb="4">
      <t>シンセイ</t>
    </rPh>
    <phoneticPr fontId="6"/>
  </si>
  <si>
    <t>浄化槽工事_人槽</t>
    <rPh sb="0" eb="3">
      <t>ジョウカソウ</t>
    </rPh>
    <rPh sb="3" eb="5">
      <t>コウジ</t>
    </rPh>
    <rPh sb="6" eb="7">
      <t>ニン</t>
    </rPh>
    <phoneticPr fontId="4"/>
  </si>
  <si>
    <t>Num092</t>
  </si>
  <si>
    <t>Date092</t>
  </si>
  <si>
    <t>Description092</t>
  </si>
  <si>
    <t>Check092</t>
  </si>
  <si>
    <t>事前申請②</t>
    <rPh sb="0" eb="2">
      <t>ジゼン</t>
    </rPh>
    <rPh sb="2" eb="4">
      <t>シンセイ</t>
    </rPh>
    <phoneticPr fontId="6"/>
  </si>
  <si>
    <t>補助金_有無</t>
    <rPh sb="0" eb="3">
      <t>ホジョキン</t>
    </rPh>
    <rPh sb="4" eb="6">
      <t>ウム</t>
    </rPh>
    <phoneticPr fontId="3"/>
  </si>
  <si>
    <t>Num093</t>
  </si>
  <si>
    <t>Date093</t>
  </si>
  <si>
    <t>Description093</t>
  </si>
  <si>
    <t>Check093</t>
  </si>
  <si>
    <t>事前申請③</t>
    <rPh sb="0" eb="2">
      <t>ジゼン</t>
    </rPh>
    <rPh sb="2" eb="4">
      <t>シンセイ</t>
    </rPh>
    <phoneticPr fontId="6"/>
  </si>
  <si>
    <t>手配者</t>
    <rPh sb="0" eb="3">
      <t>テハイシャ</t>
    </rPh>
    <phoneticPr fontId="3"/>
  </si>
  <si>
    <t>Num094</t>
  </si>
  <si>
    <t>Date094</t>
  </si>
  <si>
    <t>Description094</t>
  </si>
  <si>
    <t>Check094</t>
  </si>
  <si>
    <t>ガス工事_有無</t>
    <rPh sb="2" eb="4">
      <t>コウジ</t>
    </rPh>
    <rPh sb="5" eb="7">
      <t>ウム</t>
    </rPh>
    <phoneticPr fontId="4"/>
  </si>
  <si>
    <t>Num095</t>
  </si>
  <si>
    <t>Date095</t>
  </si>
  <si>
    <t>ガス工事_日付</t>
    <rPh sb="2" eb="4">
      <t>コウジ</t>
    </rPh>
    <rPh sb="5" eb="7">
      <t>ヒヅケ</t>
    </rPh>
    <phoneticPr fontId="4"/>
  </si>
  <si>
    <t>Description095</t>
  </si>
  <si>
    <t>Check095</t>
  </si>
  <si>
    <t>プロパン工事_有無</t>
    <rPh sb="4" eb="6">
      <t>コウジ</t>
    </rPh>
    <rPh sb="7" eb="9">
      <t>ウム</t>
    </rPh>
    <phoneticPr fontId="4"/>
  </si>
  <si>
    <t>Num096</t>
  </si>
  <si>
    <t>Date096</t>
  </si>
  <si>
    <t>プロパン工事_日付</t>
    <rPh sb="4" eb="6">
      <t>コウジ</t>
    </rPh>
    <rPh sb="7" eb="9">
      <t>ヒヅケ</t>
    </rPh>
    <phoneticPr fontId="4"/>
  </si>
  <si>
    <t>Description096</t>
  </si>
  <si>
    <t>Check096</t>
  </si>
  <si>
    <t>Num097</t>
  </si>
  <si>
    <t>Date097</t>
  </si>
  <si>
    <t>Description097</t>
  </si>
  <si>
    <t>Check097</t>
  </si>
  <si>
    <t>Num098</t>
  </si>
  <si>
    <t>Date098</t>
  </si>
  <si>
    <t>建設解体工事_着手日</t>
  </si>
  <si>
    <t>Description098</t>
  </si>
  <si>
    <t>Check098</t>
  </si>
  <si>
    <t>Num099</t>
  </si>
  <si>
    <t>Date099</t>
  </si>
  <si>
    <t>建設解体工事_完了日</t>
  </si>
  <si>
    <t>Description099</t>
  </si>
  <si>
    <t>Check099</t>
  </si>
  <si>
    <t>Num100</t>
  </si>
  <si>
    <t>Date100</t>
  </si>
  <si>
    <t>敷地造成工事_着手日</t>
  </si>
  <si>
    <t>Description100</t>
  </si>
  <si>
    <t>Check100</t>
  </si>
  <si>
    <t>Num101</t>
  </si>
  <si>
    <t>Date101</t>
  </si>
  <si>
    <t>敷地造成工事_完了日</t>
  </si>
  <si>
    <t>Description101</t>
  </si>
  <si>
    <t>Check101</t>
  </si>
  <si>
    <t>確認済証（計画変更含む）</t>
    <rPh sb="0" eb="3">
      <t>カクニンズ</t>
    </rPh>
    <rPh sb="3" eb="4">
      <t>ショウ</t>
    </rPh>
    <rPh sb="5" eb="7">
      <t>ケイカク</t>
    </rPh>
    <rPh sb="7" eb="9">
      <t>ヘンコウ</t>
    </rPh>
    <rPh sb="9" eb="10">
      <t>フク</t>
    </rPh>
    <phoneticPr fontId="6"/>
  </si>
  <si>
    <t>Num102</t>
  </si>
  <si>
    <t>Date102</t>
  </si>
  <si>
    <t>外構工事_着手日</t>
  </si>
  <si>
    <t>Description102</t>
  </si>
  <si>
    <t>Check102</t>
  </si>
  <si>
    <t>軽微変更</t>
    <rPh sb="0" eb="2">
      <t>ケイビ</t>
    </rPh>
    <rPh sb="2" eb="4">
      <t>ヘンコウ</t>
    </rPh>
    <phoneticPr fontId="6"/>
  </si>
  <si>
    <t>Num103</t>
  </si>
  <si>
    <t>Date103</t>
  </si>
  <si>
    <t>外構工事_完了日</t>
  </si>
  <si>
    <t>Description103</t>
  </si>
  <si>
    <t>Check103</t>
  </si>
  <si>
    <t>記載事項変更</t>
    <rPh sb="0" eb="4">
      <t>キサイジコウ</t>
    </rPh>
    <rPh sb="4" eb="6">
      <t>ヘンコウ</t>
    </rPh>
    <phoneticPr fontId="6"/>
  </si>
  <si>
    <t>Num104</t>
  </si>
  <si>
    <t>Date104</t>
  </si>
  <si>
    <t>Description104</t>
  </si>
  <si>
    <t>外構の要望や好み</t>
    <rPh sb="0" eb="2">
      <t>ガイコウ</t>
    </rPh>
    <rPh sb="3" eb="5">
      <t>ヨウボウ</t>
    </rPh>
    <phoneticPr fontId="2"/>
  </si>
  <si>
    <t>Check104</t>
  </si>
  <si>
    <t>外構予算(概算・確定)</t>
    <rPh sb="5" eb="7">
      <t>ガイサン</t>
    </rPh>
    <rPh sb="8" eb="10">
      <t>カクテイ</t>
    </rPh>
    <phoneticPr fontId="3"/>
  </si>
  <si>
    <t>Num105</t>
  </si>
  <si>
    <t>外構予算_金額</t>
    <rPh sb="5" eb="7">
      <t>キンガク</t>
    </rPh>
    <phoneticPr fontId="3"/>
  </si>
  <si>
    <t>Date105</t>
  </si>
  <si>
    <t>Description105</t>
  </si>
  <si>
    <t>壁面後退や控え壁についての条件</t>
  </si>
  <si>
    <t>Check105</t>
  </si>
  <si>
    <t>Num106</t>
  </si>
  <si>
    <t>Date106</t>
  </si>
  <si>
    <t>Description106</t>
  </si>
  <si>
    <t>Check106</t>
  </si>
  <si>
    <t>セットバック_有無</t>
    <rPh sb="7" eb="9">
      <t>ウム</t>
    </rPh>
    <phoneticPr fontId="3"/>
  </si>
  <si>
    <t>Num107</t>
  </si>
  <si>
    <t>Date107</t>
  </si>
  <si>
    <t>Description107</t>
  </si>
  <si>
    <t>Check107</t>
  </si>
  <si>
    <t>緑化計画_有無</t>
    <rPh sb="5" eb="7">
      <t>ウム</t>
    </rPh>
    <phoneticPr fontId="3"/>
  </si>
  <si>
    <t>Num108</t>
  </si>
  <si>
    <t>Date108</t>
  </si>
  <si>
    <t>Description108</t>
  </si>
  <si>
    <t>Check108</t>
  </si>
  <si>
    <t>換気計算・見積り</t>
    <rPh sb="0" eb="2">
      <t>カンキ</t>
    </rPh>
    <rPh sb="2" eb="4">
      <t>ケイサン</t>
    </rPh>
    <rPh sb="5" eb="7">
      <t>ミツモリ</t>
    </rPh>
    <phoneticPr fontId="6"/>
  </si>
  <si>
    <t>道路斜面緩和_有無</t>
    <rPh sb="7" eb="9">
      <t>ウム</t>
    </rPh>
    <phoneticPr fontId="3"/>
  </si>
  <si>
    <t>Num109</t>
  </si>
  <si>
    <t>Date109</t>
  </si>
  <si>
    <t>Description109</t>
  </si>
  <si>
    <t>Check109</t>
  </si>
  <si>
    <t>小運搬の必要性_有無</t>
    <rPh sb="8" eb="10">
      <t>ウム</t>
    </rPh>
    <phoneticPr fontId="3"/>
  </si>
  <si>
    <t>Num110</t>
  </si>
  <si>
    <t>Date110</t>
  </si>
  <si>
    <t>Description110</t>
  </si>
  <si>
    <t>営業からの引継事項</t>
    <rPh sb="0" eb="2">
      <t>エイギョウ</t>
    </rPh>
    <rPh sb="5" eb="9">
      <t>ヒキツギジコウ</t>
    </rPh>
    <phoneticPr fontId="3"/>
  </si>
  <si>
    <t>Check110</t>
  </si>
  <si>
    <t>Num111</t>
  </si>
  <si>
    <t>Date111</t>
  </si>
  <si>
    <t>Description111</t>
  </si>
  <si>
    <t>Check111</t>
  </si>
  <si>
    <t>長期／低炭素</t>
    <rPh sb="0" eb="2">
      <t>チョウキ</t>
    </rPh>
    <rPh sb="3" eb="6">
      <t>テイタンソ</t>
    </rPh>
    <phoneticPr fontId="6"/>
  </si>
  <si>
    <t>Num112</t>
  </si>
  <si>
    <t>Date112</t>
  </si>
  <si>
    <t>Description112</t>
  </si>
  <si>
    <t>Check112</t>
  </si>
  <si>
    <t>Num113</t>
  </si>
  <si>
    <t>Date113</t>
  </si>
  <si>
    <t>Description113</t>
  </si>
  <si>
    <t>Check113</t>
  </si>
  <si>
    <t>性能評価書</t>
    <rPh sb="0" eb="2">
      <t>セイノウ</t>
    </rPh>
    <rPh sb="2" eb="4">
      <t>ヒョウカ</t>
    </rPh>
    <rPh sb="4" eb="5">
      <t>ショ</t>
    </rPh>
    <phoneticPr fontId="6"/>
  </si>
  <si>
    <t>紹介の種類</t>
    <rPh sb="0" eb="2">
      <t>ショウカイ</t>
    </rPh>
    <rPh sb="3" eb="5">
      <t>シュルイ</t>
    </rPh>
    <phoneticPr fontId="3"/>
  </si>
  <si>
    <t>Num114</t>
  </si>
  <si>
    <t>紹介料</t>
    <rPh sb="0" eb="3">
      <t>ショウカイリョウ</t>
    </rPh>
    <phoneticPr fontId="2"/>
  </si>
  <si>
    <t>Date114</t>
  </si>
  <si>
    <t>Description114</t>
  </si>
  <si>
    <t>Check114</t>
  </si>
  <si>
    <t>BELS</t>
  </si>
  <si>
    <t>紹介者</t>
    <rPh sb="0" eb="2">
      <t>ショウカイ</t>
    </rPh>
    <rPh sb="2" eb="3">
      <t>シャ</t>
    </rPh>
    <phoneticPr fontId="3"/>
  </si>
  <si>
    <t>Num115</t>
  </si>
  <si>
    <t>Date115</t>
  </si>
  <si>
    <t>Description115</t>
  </si>
  <si>
    <t>Check115</t>
  </si>
  <si>
    <t>Num116</t>
  </si>
  <si>
    <t>Date116</t>
  </si>
  <si>
    <t>Description116</t>
  </si>
  <si>
    <t>Check116</t>
  </si>
  <si>
    <t>Num117</t>
  </si>
  <si>
    <t>Date117</t>
  </si>
  <si>
    <t>Description117</t>
  </si>
  <si>
    <t>Check117</t>
  </si>
  <si>
    <t>Num118</t>
  </si>
  <si>
    <t>Date118</t>
  </si>
  <si>
    <t>Description118</t>
  </si>
  <si>
    <t>Check118</t>
  </si>
  <si>
    <t>Num119</t>
  </si>
  <si>
    <t>Date119</t>
  </si>
  <si>
    <t>Description119</t>
  </si>
  <si>
    <t>Check119</t>
  </si>
  <si>
    <t>Num120</t>
  </si>
  <si>
    <t>Date120</t>
  </si>
  <si>
    <t>Description120</t>
  </si>
  <si>
    <t>Check120</t>
  </si>
  <si>
    <t>Num121</t>
  </si>
  <si>
    <t>Date121</t>
  </si>
  <si>
    <t>Description121</t>
  </si>
  <si>
    <t>Check121</t>
  </si>
  <si>
    <t>検査合格証</t>
    <rPh sb="0" eb="2">
      <t>ケンサ</t>
    </rPh>
    <rPh sb="2" eb="4">
      <t>ゴウカク</t>
    </rPh>
    <rPh sb="4" eb="5">
      <t>ショウ</t>
    </rPh>
    <phoneticPr fontId="6"/>
  </si>
  <si>
    <t>Num122</t>
  </si>
  <si>
    <t>Date122</t>
  </si>
  <si>
    <t>Description122</t>
  </si>
  <si>
    <t>Check122</t>
  </si>
  <si>
    <t>フラット</t>
  </si>
  <si>
    <t>Num123</t>
  </si>
  <si>
    <t>Date123</t>
  </si>
  <si>
    <t>Description123</t>
  </si>
  <si>
    <t>Check123</t>
  </si>
  <si>
    <t>工事監理報告書</t>
  </si>
  <si>
    <t>Num124</t>
  </si>
  <si>
    <t>Date124</t>
  </si>
  <si>
    <t>Description124</t>
  </si>
  <si>
    <t>Check124</t>
  </si>
  <si>
    <t>補助金申請</t>
    <rPh sb="0" eb="5">
      <t>ホジョキンシンセイ</t>
    </rPh>
    <phoneticPr fontId="6"/>
  </si>
  <si>
    <t>Num125</t>
  </si>
  <si>
    <t>Date125</t>
  </si>
  <si>
    <t>Description125</t>
  </si>
  <si>
    <t>Check125</t>
  </si>
  <si>
    <t>Num126</t>
  </si>
  <si>
    <t>Date126</t>
  </si>
  <si>
    <t>Description126</t>
  </si>
  <si>
    <t>Check126</t>
  </si>
  <si>
    <t>Num127</t>
  </si>
  <si>
    <t>Date127</t>
  </si>
  <si>
    <t>Description127</t>
  </si>
  <si>
    <t>Check127</t>
  </si>
  <si>
    <t>Num128</t>
  </si>
  <si>
    <t>Date128</t>
  </si>
  <si>
    <t>Description128</t>
  </si>
  <si>
    <t>Check128</t>
  </si>
  <si>
    <t>Num129</t>
  </si>
  <si>
    <t>Date129</t>
  </si>
  <si>
    <t>Description129</t>
  </si>
  <si>
    <t>Check129</t>
  </si>
  <si>
    <t>Num130</t>
  </si>
  <si>
    <t>Date130</t>
  </si>
  <si>
    <t>新規申請日</t>
    <rPh sb="0" eb="2">
      <t>シンキ</t>
    </rPh>
    <rPh sb="2" eb="4">
      <t>シンセイ</t>
    </rPh>
    <rPh sb="4" eb="5">
      <t>ビ</t>
    </rPh>
    <phoneticPr fontId="2"/>
  </si>
  <si>
    <t>Description130</t>
  </si>
  <si>
    <t>Check130</t>
  </si>
  <si>
    <t>Num131</t>
  </si>
  <si>
    <t>Date131</t>
  </si>
  <si>
    <t>管理設計処理日</t>
  </si>
  <si>
    <t>Description131</t>
  </si>
  <si>
    <t>Check131</t>
  </si>
  <si>
    <t>Num132</t>
  </si>
  <si>
    <t>Date132</t>
  </si>
  <si>
    <t>所属長処理日</t>
  </si>
  <si>
    <t>Description132</t>
  </si>
  <si>
    <t>Check132</t>
  </si>
  <si>
    <t>Num133</t>
  </si>
  <si>
    <t>Date133</t>
  </si>
  <si>
    <t>着工要因処理日</t>
  </si>
  <si>
    <t>Description133</t>
  </si>
  <si>
    <t>Check133</t>
  </si>
  <si>
    <t>Num134</t>
  </si>
  <si>
    <t>Date134</t>
  </si>
  <si>
    <t>専務処理日</t>
  </si>
  <si>
    <t>Description134</t>
  </si>
  <si>
    <t>Check134</t>
  </si>
  <si>
    <t>Num135</t>
  </si>
  <si>
    <t>Date135</t>
  </si>
  <si>
    <t>総務処理日</t>
  </si>
  <si>
    <t>Description135</t>
  </si>
  <si>
    <t>Check135</t>
  </si>
  <si>
    <t>Num136</t>
  </si>
  <si>
    <t>Date136</t>
  </si>
  <si>
    <t>役員処理日</t>
  </si>
  <si>
    <t>Description136</t>
  </si>
  <si>
    <t>Check136</t>
  </si>
  <si>
    <t>Num137</t>
  </si>
  <si>
    <t>Date137</t>
  </si>
  <si>
    <t>差戻し日</t>
  </si>
  <si>
    <t>Description137</t>
  </si>
  <si>
    <t>Check137</t>
  </si>
  <si>
    <t>Num138</t>
  </si>
  <si>
    <t>Date138</t>
  </si>
  <si>
    <t>Description138</t>
  </si>
  <si>
    <t>Check138</t>
  </si>
  <si>
    <t>Num139</t>
  </si>
  <si>
    <t>Date139</t>
  </si>
  <si>
    <t>Description139</t>
  </si>
  <si>
    <t>Check139</t>
  </si>
  <si>
    <t>Num140</t>
  </si>
  <si>
    <t>Date140</t>
  </si>
  <si>
    <t>Description140</t>
  </si>
  <si>
    <t>Check140</t>
  </si>
  <si>
    <t>Num141</t>
  </si>
  <si>
    <t>Date141</t>
  </si>
  <si>
    <t>Description141</t>
  </si>
  <si>
    <t>Check141</t>
  </si>
  <si>
    <t>Num142</t>
  </si>
  <si>
    <t>Date142</t>
  </si>
  <si>
    <t>Description142</t>
  </si>
  <si>
    <t>Check142</t>
  </si>
  <si>
    <t>Num143</t>
  </si>
  <si>
    <t>Date143</t>
  </si>
  <si>
    <t>Description143</t>
  </si>
  <si>
    <t>Check143</t>
  </si>
  <si>
    <t>Num144</t>
  </si>
  <si>
    <t>Date144</t>
  </si>
  <si>
    <t>Description144</t>
  </si>
  <si>
    <t>Check144</t>
  </si>
  <si>
    <t>Num145</t>
  </si>
  <si>
    <t>Date145</t>
  </si>
  <si>
    <t>Description145</t>
  </si>
  <si>
    <t>Check145</t>
  </si>
  <si>
    <t>Num146</t>
  </si>
  <si>
    <t>Date146</t>
  </si>
  <si>
    <t>Description146</t>
  </si>
  <si>
    <t>Check146</t>
  </si>
  <si>
    <t>Num147</t>
  </si>
  <si>
    <t>Date147</t>
  </si>
  <si>
    <t>Description147</t>
  </si>
  <si>
    <t>Check147</t>
  </si>
  <si>
    <t>Num148</t>
  </si>
  <si>
    <t>Date148</t>
  </si>
  <si>
    <t>Description148</t>
  </si>
  <si>
    <t>Check148</t>
  </si>
  <si>
    <t>Num149</t>
  </si>
  <si>
    <t>Date149</t>
  </si>
  <si>
    <t>Description149</t>
  </si>
  <si>
    <t>Check149</t>
  </si>
  <si>
    <t>Num150</t>
  </si>
  <si>
    <t>Date150</t>
  </si>
  <si>
    <t>[設契]新規申請日</t>
  </si>
  <si>
    <t>Description150</t>
  </si>
  <si>
    <t>Check150</t>
  </si>
  <si>
    <t>Num151</t>
  </si>
  <si>
    <t>Date151</t>
  </si>
  <si>
    <t>[設契]管理設計処理日</t>
  </si>
  <si>
    <t>Description151</t>
  </si>
  <si>
    <t>Check151</t>
  </si>
  <si>
    <t>Num152</t>
  </si>
  <si>
    <t>Date152</t>
  </si>
  <si>
    <t>[設契]所属長処理日</t>
  </si>
  <si>
    <t>Description152</t>
  </si>
  <si>
    <t>Check152</t>
  </si>
  <si>
    <t>Num153</t>
  </si>
  <si>
    <t>Date153</t>
  </si>
  <si>
    <t>[設契]着工要因処理日</t>
  </si>
  <si>
    <t>Description153</t>
  </si>
  <si>
    <t>Check153</t>
  </si>
  <si>
    <t>Num154</t>
  </si>
  <si>
    <t>Date154</t>
  </si>
  <si>
    <t>[設契]専務処理日</t>
  </si>
  <si>
    <t>Description154</t>
  </si>
  <si>
    <t>Check154</t>
  </si>
  <si>
    <t>Num155</t>
  </si>
  <si>
    <t>Date155</t>
  </si>
  <si>
    <t>[設契]総務処理日</t>
  </si>
  <si>
    <t>Description155</t>
  </si>
  <si>
    <t>Check155</t>
  </si>
  <si>
    <t>Num156</t>
  </si>
  <si>
    <t>Date156</t>
  </si>
  <si>
    <t>[設契]役員処理日</t>
  </si>
  <si>
    <t>Description156</t>
  </si>
  <si>
    <t>Check156</t>
  </si>
  <si>
    <t>Num157</t>
  </si>
  <si>
    <t>Date157</t>
  </si>
  <si>
    <t>[設契]差戻し日</t>
  </si>
  <si>
    <t>Description157</t>
  </si>
  <si>
    <t>Check157</t>
  </si>
  <si>
    <t>Num158</t>
  </si>
  <si>
    <t>Date158</t>
  </si>
  <si>
    <t>本契約移行日</t>
    <rPh sb="0" eb="3">
      <t>ホンケイヤク</t>
    </rPh>
    <rPh sb="3" eb="5">
      <t>イコウ</t>
    </rPh>
    <rPh sb="5" eb="6">
      <t>ビ</t>
    </rPh>
    <phoneticPr fontId="2"/>
  </si>
  <si>
    <t>Description158</t>
  </si>
  <si>
    <t>Check158</t>
  </si>
  <si>
    <t>Num159</t>
  </si>
  <si>
    <t>Date159</t>
  </si>
  <si>
    <t>Description159</t>
  </si>
  <si>
    <t>Check159</t>
  </si>
  <si>
    <t>Num160</t>
  </si>
  <si>
    <t>Date160</t>
  </si>
  <si>
    <t>Description160</t>
  </si>
  <si>
    <t>Check160</t>
  </si>
  <si>
    <t>Num161</t>
  </si>
  <si>
    <t>Date161</t>
  </si>
  <si>
    <t>Description161</t>
  </si>
  <si>
    <t>Check161</t>
  </si>
  <si>
    <t>Num162</t>
  </si>
  <si>
    <t>Date162</t>
  </si>
  <si>
    <t>Description162</t>
  </si>
  <si>
    <t>Check162</t>
  </si>
  <si>
    <t>Num163</t>
  </si>
  <si>
    <t>Date163</t>
  </si>
  <si>
    <t>Description163</t>
  </si>
  <si>
    <t>Check163</t>
  </si>
  <si>
    <t>Num164</t>
  </si>
  <si>
    <t>Date164</t>
  </si>
  <si>
    <t>Description164</t>
  </si>
  <si>
    <t>Check164</t>
  </si>
  <si>
    <t>Num165</t>
  </si>
  <si>
    <t>Date165</t>
  </si>
  <si>
    <t>Description165</t>
  </si>
  <si>
    <t>Check165</t>
  </si>
  <si>
    <t>Num166</t>
  </si>
  <si>
    <t>Date166</t>
  </si>
  <si>
    <t>Description166</t>
  </si>
  <si>
    <t>Check166</t>
  </si>
  <si>
    <t>Num167</t>
  </si>
  <si>
    <t>Date167</t>
  </si>
  <si>
    <t>Description167</t>
  </si>
  <si>
    <t>Check167</t>
  </si>
  <si>
    <t>Num168</t>
  </si>
  <si>
    <t>Date168</t>
  </si>
  <si>
    <t>Description168</t>
  </si>
  <si>
    <t>Check168</t>
  </si>
  <si>
    <t>Num169</t>
  </si>
  <si>
    <t>Date169</t>
  </si>
  <si>
    <t>Description169</t>
  </si>
  <si>
    <t>Check169</t>
  </si>
  <si>
    <t>Num170</t>
  </si>
  <si>
    <t>Date170</t>
  </si>
  <si>
    <t>Description170</t>
  </si>
  <si>
    <t>Check170</t>
  </si>
  <si>
    <t>Num171</t>
  </si>
  <si>
    <t>Date171</t>
  </si>
  <si>
    <t>Description171</t>
  </si>
  <si>
    <t>Check171</t>
  </si>
  <si>
    <t>Num172</t>
  </si>
  <si>
    <t>Date172</t>
  </si>
  <si>
    <t>Description172</t>
  </si>
  <si>
    <t>Check172</t>
  </si>
  <si>
    <t>Num173</t>
  </si>
  <si>
    <t>Date173</t>
  </si>
  <si>
    <t>Description173</t>
  </si>
  <si>
    <t>Check173</t>
  </si>
  <si>
    <t>Num174</t>
  </si>
  <si>
    <t>Date174</t>
  </si>
  <si>
    <t>Description174</t>
  </si>
  <si>
    <t>Check174</t>
  </si>
  <si>
    <t>Num175</t>
  </si>
  <si>
    <t>Date175</t>
  </si>
  <si>
    <t>Description175</t>
  </si>
  <si>
    <t>Check175</t>
  </si>
  <si>
    <t>Num176</t>
  </si>
  <si>
    <t>Date176</t>
  </si>
  <si>
    <t>Description176</t>
  </si>
  <si>
    <t>Check176</t>
  </si>
  <si>
    <t>Num177</t>
  </si>
  <si>
    <t>Date177</t>
  </si>
  <si>
    <t>Description177</t>
  </si>
  <si>
    <t>Check177</t>
  </si>
  <si>
    <t>Num178</t>
  </si>
  <si>
    <t>Date178</t>
  </si>
  <si>
    <t>Description178</t>
  </si>
  <si>
    <t>Check178</t>
  </si>
  <si>
    <t>Num179</t>
  </si>
  <si>
    <t>Date179</t>
  </si>
  <si>
    <t>Description179</t>
  </si>
  <si>
    <t>Check179</t>
  </si>
  <si>
    <t>Num180</t>
  </si>
  <si>
    <t>Date180</t>
  </si>
  <si>
    <t>Description180</t>
  </si>
  <si>
    <t>Check180</t>
  </si>
  <si>
    <t>Num181</t>
  </si>
  <si>
    <t>Date181</t>
  </si>
  <si>
    <t>Description181</t>
  </si>
  <si>
    <t>Check181</t>
  </si>
  <si>
    <t>Num182</t>
  </si>
  <si>
    <t>Date182</t>
  </si>
  <si>
    <t>Description182</t>
  </si>
  <si>
    <t>Check182</t>
  </si>
  <si>
    <t>Num183</t>
  </si>
  <si>
    <t>Date183</t>
  </si>
  <si>
    <t>Description183</t>
  </si>
  <si>
    <t>Check183</t>
  </si>
  <si>
    <t>Num184</t>
  </si>
  <si>
    <t>Date184</t>
  </si>
  <si>
    <t>Description184</t>
  </si>
  <si>
    <t>Check184</t>
  </si>
  <si>
    <t>Num185</t>
  </si>
  <si>
    <t>Date185</t>
  </si>
  <si>
    <t>Description185</t>
  </si>
  <si>
    <t>Check185</t>
  </si>
  <si>
    <t>Num186</t>
  </si>
  <si>
    <t>Date186</t>
  </si>
  <si>
    <t>Description186</t>
  </si>
  <si>
    <t>Check186</t>
  </si>
  <si>
    <t>Num187</t>
  </si>
  <si>
    <t>Date187</t>
  </si>
  <si>
    <t>Description187</t>
  </si>
  <si>
    <t>Check187</t>
  </si>
  <si>
    <t>Num188</t>
  </si>
  <si>
    <t>Date188</t>
  </si>
  <si>
    <t>Description188</t>
  </si>
  <si>
    <t>Check188</t>
  </si>
  <si>
    <t>Num189</t>
  </si>
  <si>
    <t>Date189</t>
  </si>
  <si>
    <t>Description189</t>
  </si>
  <si>
    <t>Check189</t>
  </si>
  <si>
    <t>Num190</t>
  </si>
  <si>
    <t>Date190</t>
  </si>
  <si>
    <t>Description190</t>
  </si>
  <si>
    <t>Check190</t>
  </si>
  <si>
    <t>Num191</t>
  </si>
  <si>
    <t>Date191</t>
  </si>
  <si>
    <t>Description191</t>
  </si>
  <si>
    <t>Check191</t>
  </si>
  <si>
    <t>Num192</t>
  </si>
  <si>
    <t>Date192</t>
  </si>
  <si>
    <t>Description192</t>
  </si>
  <si>
    <t>Check192</t>
  </si>
  <si>
    <t>Num193</t>
  </si>
  <si>
    <t>Date193</t>
  </si>
  <si>
    <t>Description193</t>
  </si>
  <si>
    <t>Check193</t>
  </si>
  <si>
    <t>Num194</t>
  </si>
  <si>
    <t>Date194</t>
  </si>
  <si>
    <t>Description194</t>
  </si>
  <si>
    <t>Check194</t>
  </si>
  <si>
    <t>Num195</t>
  </si>
  <si>
    <t>Date195</t>
  </si>
  <si>
    <t>Description195</t>
  </si>
  <si>
    <t>Check195</t>
  </si>
  <si>
    <t>Num196</t>
  </si>
  <si>
    <t>Date196</t>
  </si>
  <si>
    <t>Description196</t>
  </si>
  <si>
    <t>Check196</t>
  </si>
  <si>
    <t>Num197</t>
  </si>
  <si>
    <t>Date197</t>
  </si>
  <si>
    <t>Description197</t>
  </si>
  <si>
    <t>Check197</t>
  </si>
  <si>
    <t>Num198</t>
  </si>
  <si>
    <t>Date198</t>
  </si>
  <si>
    <t>Description198</t>
  </si>
  <si>
    <t>Check198</t>
  </si>
  <si>
    <t>Num199</t>
  </si>
  <si>
    <t>Date199</t>
  </si>
  <si>
    <t>Description199</t>
  </si>
  <si>
    <t>Check199</t>
  </si>
  <si>
    <t>Num200</t>
  </si>
  <si>
    <t>Date200</t>
  </si>
  <si>
    <t>Description200</t>
  </si>
  <si>
    <t>Check200</t>
  </si>
  <si>
    <t>CheckS</t>
    <phoneticPr fontId="1"/>
  </si>
  <si>
    <t>ClassA</t>
    <phoneticPr fontId="1"/>
  </si>
  <si>
    <t>ClassC</t>
    <phoneticPr fontId="1"/>
  </si>
  <si>
    <t>差し戻し履歴</t>
    <phoneticPr fontId="1"/>
  </si>
  <si>
    <t>契約ブランドjson</t>
    <phoneticPr fontId="1"/>
  </si>
  <si>
    <t>シリーズ</t>
    <phoneticPr fontId="1"/>
  </si>
  <si>
    <t>シリーズjson</t>
    <phoneticPr fontId="1"/>
  </si>
  <si>
    <t>スマイノミライ60年保証申請</t>
    <phoneticPr fontId="1"/>
  </si>
  <si>
    <t>リードタイムデータ</t>
    <phoneticPr fontId="1"/>
  </si>
  <si>
    <t>AttachmentsA</t>
  </si>
  <si>
    <t>AttachmentsB</t>
  </si>
  <si>
    <t>AttachmentsC</t>
  </si>
  <si>
    <t>AttachmentsD</t>
  </si>
  <si>
    <t>AttachmentsE</t>
  </si>
  <si>
    <t>AttachmentsF</t>
  </si>
  <si>
    <t>AttachmentsG</t>
  </si>
  <si>
    <t>AttachmentsH</t>
  </si>
  <si>
    <t>AttachmentsI</t>
  </si>
  <si>
    <t>AttachmentsJ</t>
  </si>
  <si>
    <t>AttachmentsK</t>
  </si>
  <si>
    <t>AttachmentsL</t>
  </si>
  <si>
    <t>AttachmentsM</t>
  </si>
  <si>
    <t>AttachmentsN</t>
  </si>
  <si>
    <t>AttachmentsO</t>
  </si>
  <si>
    <t>AttachmentsP</t>
  </si>
  <si>
    <t>AttachmentsQ</t>
  </si>
  <si>
    <t>AttachmentsR</t>
  </si>
  <si>
    <t>AttachmentsS</t>
  </si>
  <si>
    <t>AttachmentsT</t>
  </si>
  <si>
    <t>AttachmentsU</t>
  </si>
  <si>
    <t>AttachmentsV</t>
  </si>
  <si>
    <t>AttachmentsW</t>
  </si>
  <si>
    <t>AttachmentsX</t>
  </si>
  <si>
    <t>AttachmentsY</t>
  </si>
  <si>
    <t>AttachmentsZ</t>
  </si>
  <si>
    <t>Attachments001</t>
  </si>
  <si>
    <t>Attachments002</t>
  </si>
  <si>
    <t>Attachments003</t>
  </si>
  <si>
    <t>Attachments004</t>
  </si>
  <si>
    <t>Attachments005</t>
  </si>
  <si>
    <t>Attachments006</t>
  </si>
  <si>
    <t>Attachments007</t>
  </si>
  <si>
    <t>Attachments008</t>
  </si>
  <si>
    <t>Attachments009</t>
  </si>
  <si>
    <t>Attachments010</t>
  </si>
  <si>
    <t>Attachments011</t>
  </si>
  <si>
    <t>Attachments012</t>
  </si>
  <si>
    <t>Attachments013</t>
  </si>
  <si>
    <t>Attachments014</t>
  </si>
  <si>
    <t>Attachments015</t>
  </si>
  <si>
    <t>Attachments016</t>
  </si>
  <si>
    <t>Attachments017</t>
  </si>
  <si>
    <t>Attachments018</t>
  </si>
  <si>
    <t>Attachments019</t>
  </si>
  <si>
    <t>Attachments020</t>
  </si>
  <si>
    <t>Attachments021</t>
  </si>
  <si>
    <t>Attachments022</t>
  </si>
  <si>
    <t>Attachments023</t>
  </si>
  <si>
    <t>Attachments024</t>
  </si>
  <si>
    <t>Attachments025</t>
  </si>
  <si>
    <t>Attachments026</t>
  </si>
  <si>
    <t>Attachments027</t>
  </si>
  <si>
    <t>Attachments028</t>
  </si>
  <si>
    <t>Attachments029</t>
  </si>
  <si>
    <t>Attachments030</t>
  </si>
  <si>
    <t>Attachments031</t>
  </si>
  <si>
    <t>Attachments032</t>
  </si>
  <si>
    <t>Attachments033</t>
  </si>
  <si>
    <t>Attachments034</t>
  </si>
  <si>
    <t>Attachments035</t>
  </si>
  <si>
    <t>Attachments036</t>
  </si>
  <si>
    <t>Attachments037</t>
  </si>
  <si>
    <t>Attachments038</t>
  </si>
  <si>
    <t>Attachments039</t>
  </si>
  <si>
    <t>Attachments040</t>
  </si>
  <si>
    <t>Attachments041</t>
  </si>
  <si>
    <t>Attachments042</t>
  </si>
  <si>
    <t>Attachments043</t>
  </si>
  <si>
    <t>Attachments044</t>
  </si>
  <si>
    <t>Attachments045</t>
  </si>
  <si>
    <t>Attachments046</t>
  </si>
  <si>
    <t>Attachments047</t>
  </si>
  <si>
    <t>Attachments048</t>
  </si>
  <si>
    <t>Attachments049</t>
  </si>
  <si>
    <t>Attachments050</t>
  </si>
  <si>
    <t>Attachments051</t>
  </si>
  <si>
    <t>Attachments052</t>
  </si>
  <si>
    <t>Attachments053</t>
  </si>
  <si>
    <t>Attachments054</t>
  </si>
  <si>
    <t>Attachments055</t>
  </si>
  <si>
    <t>Attachments056</t>
  </si>
  <si>
    <t>Attachments057</t>
  </si>
  <si>
    <t>Attachments058</t>
  </si>
  <si>
    <t>Attachments059</t>
  </si>
  <si>
    <t>Attachments060</t>
  </si>
  <si>
    <t>Attachments061</t>
  </si>
  <si>
    <t>Attachments062</t>
  </si>
  <si>
    <t>Attachments063</t>
  </si>
  <si>
    <t>Attachments064</t>
  </si>
  <si>
    <t>Attachments065</t>
  </si>
  <si>
    <t>Attachments066</t>
  </si>
  <si>
    <t>Attachments067</t>
  </si>
  <si>
    <t>Attachments068</t>
  </si>
  <si>
    <t>Attachments069</t>
  </si>
  <si>
    <t>Attachments070</t>
  </si>
  <si>
    <t>Attachments071</t>
  </si>
  <si>
    <t>Attachments072</t>
  </si>
  <si>
    <t>Attachments073</t>
  </si>
  <si>
    <t>Attachments074</t>
  </si>
  <si>
    <t>Attachments075</t>
  </si>
  <si>
    <t>Attachments076</t>
  </si>
  <si>
    <t>Attachments077</t>
  </si>
  <si>
    <t>Attachments078</t>
  </si>
  <si>
    <t>Attachments079</t>
  </si>
  <si>
    <t>Attachments080</t>
  </si>
  <si>
    <t>Attachments081</t>
  </si>
  <si>
    <t>Attachments082</t>
  </si>
  <si>
    <t>Attachments083</t>
  </si>
  <si>
    <t>Attachments084</t>
  </si>
  <si>
    <t>Attachments085</t>
  </si>
  <si>
    <t>Attachments086</t>
  </si>
  <si>
    <t>Attachments087</t>
  </si>
  <si>
    <t>Attachments088</t>
  </si>
  <si>
    <t>Attachments089</t>
  </si>
  <si>
    <t>Attachments090</t>
  </si>
  <si>
    <t>Attachments091</t>
  </si>
  <si>
    <t>Attachments092</t>
  </si>
  <si>
    <t>Attachments093</t>
  </si>
  <si>
    <t>Attachments094</t>
  </si>
  <si>
    <t>Attachments095</t>
  </si>
  <si>
    <t>Attachments096</t>
  </si>
  <si>
    <t>Attachments097</t>
  </si>
  <si>
    <t>Attachments098</t>
  </si>
  <si>
    <t>Attachments099</t>
  </si>
  <si>
    <t>Attachments100</t>
  </si>
  <si>
    <t>Attachments101</t>
  </si>
  <si>
    <t>Attachments102</t>
  </si>
  <si>
    <t>Attachments103</t>
  </si>
  <si>
    <t>Attachments104</t>
  </si>
  <si>
    <t>Attachments105</t>
  </si>
  <si>
    <t>Attachments106</t>
  </si>
  <si>
    <t>Attachments107</t>
  </si>
  <si>
    <t>Attachments108</t>
  </si>
  <si>
    <t>Attachments109</t>
  </si>
  <si>
    <t>Attachments110</t>
  </si>
  <si>
    <t>Attachments111</t>
  </si>
  <si>
    <t>Attachments112</t>
  </si>
  <si>
    <t>Attachments113</t>
  </si>
  <si>
    <t>Attachments114</t>
  </si>
  <si>
    <t>Attachments115</t>
  </si>
  <si>
    <t>Attachments116</t>
  </si>
  <si>
    <t>Attachments117</t>
  </si>
  <si>
    <t>Attachments118</t>
  </si>
  <si>
    <t>Attachments119</t>
  </si>
  <si>
    <t>Attachments120</t>
  </si>
  <si>
    <t>Attachments121</t>
  </si>
  <si>
    <t>Attachments122</t>
  </si>
  <si>
    <t>Attachments123</t>
  </si>
  <si>
    <t>Attachments124</t>
  </si>
  <si>
    <t>Attachments125</t>
  </si>
  <si>
    <t>Attachments126</t>
  </si>
  <si>
    <t>Attachments127</t>
  </si>
  <si>
    <t>Attachments128</t>
  </si>
  <si>
    <t>Attachments129</t>
  </si>
  <si>
    <t>Attachments130</t>
  </si>
  <si>
    <t>Attachments131</t>
  </si>
  <si>
    <t>Attachments132</t>
  </si>
  <si>
    <t>Attachments133</t>
  </si>
  <si>
    <t>Attachments134</t>
  </si>
  <si>
    <t>Attachments135</t>
  </si>
  <si>
    <t>Attachments136</t>
  </si>
  <si>
    <t>Attachments137</t>
  </si>
  <si>
    <t>Attachments138</t>
  </si>
  <si>
    <t>Attachments139</t>
  </si>
  <si>
    <t>Attachments140</t>
  </si>
  <si>
    <t>Attachments141</t>
  </si>
  <si>
    <t>Attachments142</t>
  </si>
  <si>
    <t>Attachments143</t>
  </si>
  <si>
    <t>Attachments144</t>
  </si>
  <si>
    <t>Attachments145</t>
  </si>
  <si>
    <t>Attachments146</t>
  </si>
  <si>
    <t>Attachments147</t>
  </si>
  <si>
    <t>Attachments148</t>
  </si>
  <si>
    <t>Attachments149</t>
  </si>
  <si>
    <t>Attachments150</t>
  </si>
  <si>
    <t>Attachments151</t>
  </si>
  <si>
    <t>Attachments152</t>
  </si>
  <si>
    <t>Attachments153</t>
  </si>
  <si>
    <t>Attachments154</t>
  </si>
  <si>
    <t>Attachments155</t>
  </si>
  <si>
    <t>Attachments156</t>
  </si>
  <si>
    <t>Attachments157</t>
  </si>
  <si>
    <t>Attachments158</t>
  </si>
  <si>
    <t>Attachments159</t>
  </si>
  <si>
    <t>Attachments160</t>
  </si>
  <si>
    <t>Attachments161</t>
  </si>
  <si>
    <t>Attachments162</t>
  </si>
  <si>
    <t>Attachments163</t>
  </si>
  <si>
    <t>Attachments164</t>
  </si>
  <si>
    <t>Attachments165</t>
  </si>
  <si>
    <t>Attachments166</t>
  </si>
  <si>
    <t>Attachments167</t>
  </si>
  <si>
    <t>Attachments168</t>
  </si>
  <si>
    <t>Attachments169</t>
  </si>
  <si>
    <t>Attachments170</t>
  </si>
  <si>
    <t>Attachments171</t>
  </si>
  <si>
    <t>Attachments172</t>
  </si>
  <si>
    <t>Attachments173</t>
  </si>
  <si>
    <t>Attachments174</t>
  </si>
  <si>
    <t>Attachments175</t>
  </si>
  <si>
    <t>Attachments176</t>
  </si>
  <si>
    <t>Attachments177</t>
  </si>
  <si>
    <t>Attachments178</t>
  </si>
  <si>
    <t>Attachments179</t>
  </si>
  <si>
    <t>Attachments180</t>
  </si>
  <si>
    <t>Attachments181</t>
  </si>
  <si>
    <t>Attachments182</t>
  </si>
  <si>
    <t>Attachments183</t>
  </si>
  <si>
    <t>Attachments184</t>
  </si>
  <si>
    <t>Attachments185</t>
  </si>
  <si>
    <t>Attachments186</t>
  </si>
  <si>
    <t>Attachments187</t>
  </si>
  <si>
    <t>Attachments188</t>
  </si>
  <si>
    <t>Attachments189</t>
  </si>
  <si>
    <t>Attachments190</t>
  </si>
  <si>
    <t>Attachments191</t>
  </si>
  <si>
    <t>Attachments192</t>
  </si>
  <si>
    <t>Attachments193</t>
  </si>
  <si>
    <t>Attachments194</t>
  </si>
  <si>
    <t>Attachments195</t>
  </si>
  <si>
    <t>Attachments196</t>
  </si>
  <si>
    <t>Attachments197</t>
  </si>
  <si>
    <t>Attachments198</t>
  </si>
  <si>
    <t>Attachments199</t>
  </si>
  <si>
    <t>Attachments200</t>
  </si>
  <si>
    <t>画像掲載承諾書</t>
    <rPh sb="0" eb="4">
      <t>ガゾウケイサイ</t>
    </rPh>
    <rPh sb="4" eb="7">
      <t>ショウダクショ</t>
    </rPh>
    <phoneticPr fontId="1"/>
  </si>
  <si>
    <t>AttachmentsE</t>
    <phoneticPr fontId="1"/>
  </si>
  <si>
    <t>AttachmentsX</t>
    <phoneticPr fontId="1"/>
  </si>
  <si>
    <t>旧エクセルマスターシート</t>
    <phoneticPr fontId="1"/>
  </si>
  <si>
    <t>AttachmentsD</t>
    <phoneticPr fontId="1"/>
  </si>
  <si>
    <t>現場案内図PDF</t>
    <phoneticPr fontId="1"/>
  </si>
  <si>
    <t>現場情報</t>
    <phoneticPr fontId="1"/>
  </si>
  <si>
    <t>現場案内図PDF</t>
  </si>
  <si>
    <t>現場情報</t>
  </si>
  <si>
    <t>旧エクセルマスターシート</t>
  </si>
  <si>
    <t>画像掲載承諾書</t>
  </si>
  <si>
    <t>営業作成敷地調査報告書</t>
  </si>
  <si>
    <t>再調査敷地調査報告書</t>
  </si>
  <si>
    <t>営業取得資料⼀式</t>
  </si>
  <si>
    <t>用途地域関係</t>
  </si>
  <si>
    <t>0</t>
  </si>
  <si>
    <t>2</t>
  </si>
  <si>
    <t>りそな銀行　立川支店　普通　2193734</t>
  </si>
  <si>
    <t>内部仕様書に基づく</t>
  </si>
  <si>
    <t>尺モジュール</t>
  </si>
  <si>
    <t>無し</t>
  </si>
  <si>
    <t>1</t>
  </si>
  <si>
    <t>ハウスジーメン</t>
  </si>
  <si>
    <t>項目名</t>
    <rPh sb="0" eb="3">
      <t>コウモクメイ</t>
    </rPh>
    <phoneticPr fontId="1"/>
  </si>
  <si>
    <t>カラム名</t>
    <rPh sb="3" eb="4">
      <t>メイ</t>
    </rPh>
    <phoneticPr fontId="1"/>
  </si>
  <si>
    <t>位置</t>
    <rPh sb="0" eb="2">
      <t>イチ</t>
    </rPh>
    <phoneticPr fontId="1"/>
  </si>
  <si>
    <t>DL</t>
    <phoneticPr fontId="1"/>
  </si>
  <si>
    <t>レコード名</t>
    <rPh sb="4" eb="5">
      <t>メイ</t>
    </rPh>
    <phoneticPr fontId="1"/>
  </si>
  <si>
    <t>営業所</t>
  </si>
  <si>
    <t>営業所</t>
    <rPh sb="0" eb="3">
      <t>エイギョウショ</t>
    </rPh>
    <phoneticPr fontId="1"/>
  </si>
  <si>
    <t>主ブランド</t>
  </si>
  <si>
    <t>住所1</t>
  </si>
  <si>
    <t>住所2</t>
  </si>
  <si>
    <t>電話番号</t>
  </si>
  <si>
    <t>FAX番号</t>
  </si>
  <si>
    <t>所長</t>
  </si>
  <si>
    <t>振込先</t>
  </si>
  <si>
    <t>所長1</t>
  </si>
  <si>
    <t>計上店舗名</t>
  </si>
  <si>
    <t>nexthouse</t>
  </si>
  <si>
    <t>相模原営業所</t>
  </si>
  <si>
    <t>溝口 大介</t>
  </si>
  <si>
    <t>りそな銀行　立川支店　普通　2193775</t>
  </si>
  <si>
    <t>東京</t>
  </si>
  <si>
    <t>アクティエ八王子</t>
  </si>
  <si>
    <t>長久手営業所</t>
  </si>
  <si>
    <t>愛知県長久手市岩作長鶴50</t>
  </si>
  <si>
    <t>CBCハウジング長久手住まいの公園 No.10</t>
  </si>
  <si>
    <t>052-747-5117</t>
  </si>
  <si>
    <t>052-265-5948</t>
  </si>
  <si>
    <t>林 努</t>
  </si>
  <si>
    <t>りそな銀行　立川支店　普通　2193841</t>
  </si>
  <si>
    <t>愛知</t>
  </si>
  <si>
    <t>ネクストハウス長久手</t>
  </si>
  <si>
    <t>CLEVERLYHOME</t>
  </si>
  <si>
    <t>静岡営業所</t>
  </si>
  <si>
    <t>静岡県静岡市葵区竜南1-1-1</t>
  </si>
  <si>
    <t>葵住宅公園 No.10</t>
  </si>
  <si>
    <t>054-207-8700</t>
  </si>
  <si>
    <t>054-207-8056</t>
  </si>
  <si>
    <t>福島 成佳</t>
  </si>
  <si>
    <t>NG</t>
  </si>
  <si>
    <t>静岡</t>
  </si>
  <si>
    <t>クレバリー静岡/藤枝</t>
  </si>
  <si>
    <t>藤枝営業所</t>
  </si>
  <si>
    <t>静岡県藤枝市高柳2-6-32</t>
  </si>
  <si>
    <t>木更津営業所</t>
  </si>
  <si>
    <t>君津住宅</t>
  </si>
  <si>
    <t>千葉県木更津市貝渕3-13-49</t>
  </si>
  <si>
    <t>木更津住宅総合展示場内</t>
  </si>
  <si>
    <t>0438-20-3771</t>
  </si>
  <si>
    <t>0438-20-3822</t>
  </si>
  <si>
    <t>渡辺 正</t>
  </si>
  <si>
    <t>千葉</t>
  </si>
  <si>
    <t>WELLHOMES</t>
  </si>
  <si>
    <t>横浜営業所</t>
  </si>
  <si>
    <t>042-595-9911</t>
  </si>
  <si>
    <t>045-507-6114</t>
  </si>
  <si>
    <t>田中 勇一</t>
  </si>
  <si>
    <t>りそな銀行　立川支店　普通　2193742</t>
  </si>
  <si>
    <t>アクティエ横浜</t>
  </si>
  <si>
    <t>厚木営業所</t>
  </si>
  <si>
    <t>神奈川県厚木市妻田西1-9-28</t>
  </si>
  <si>
    <t>厚木住宅公園 No.7</t>
  </si>
  <si>
    <t>042-000-2701</t>
  </si>
  <si>
    <t>046-259-9908</t>
  </si>
  <si>
    <t>田中 大輔</t>
  </si>
  <si>
    <t>りそな銀行　立川支店　普通　2193791</t>
  </si>
  <si>
    <t>ネクストハウス厚木</t>
  </si>
  <si>
    <t>各務原営業所</t>
  </si>
  <si>
    <t>岐阜県各務原市蘇原青雲町3-41-1</t>
  </si>
  <si>
    <t>岐阜ハウジングギャラリー各務原</t>
  </si>
  <si>
    <t>058-260-7275</t>
  </si>
  <si>
    <t>田中 誠浩</t>
  </si>
  <si>
    <t>りそな銀行　立川支店　普通　2193858</t>
  </si>
  <si>
    <t>ネクストハウス各務原</t>
  </si>
  <si>
    <t>Graph</t>
  </si>
  <si>
    <t>熊本営業所</t>
  </si>
  <si>
    <t>熊本県熊本市中央区坪井3丁目8-41</t>
  </si>
  <si>
    <t>Graph熊本ショールーム</t>
  </si>
  <si>
    <t>0800-1111-871</t>
  </si>
  <si>
    <t>中村 敏文</t>
  </si>
  <si>
    <t>りそな銀行　立川支店　普通　2193718</t>
  </si>
  <si>
    <t>熊本</t>
  </si>
  <si>
    <t>Graph熊本</t>
  </si>
  <si>
    <t>actie</t>
  </si>
  <si>
    <t>大府営業所</t>
  </si>
  <si>
    <t>愛知県大府市横根町前田40-1</t>
  </si>
  <si>
    <t>中京テレビハウジング大府 No.29</t>
  </si>
  <si>
    <t>0561-76-2003</t>
  </si>
  <si>
    <t>0562-85-2772</t>
  </si>
  <si>
    <t>池戸 功輝</t>
  </si>
  <si>
    <t>りそな銀行　立川支店　普通　2193882</t>
  </si>
  <si>
    <t>立川営業所</t>
  </si>
  <si>
    <t>東京都立川市泉町935-1</t>
  </si>
  <si>
    <t>ABCハウジングワールド立川総合展示場 No.17</t>
  </si>
  <si>
    <t>042-548-4046</t>
  </si>
  <si>
    <t>石田 直樹</t>
  </si>
  <si>
    <t>りそな銀行　立川支店　普通　2193726</t>
  </si>
  <si>
    <t>アクティエ立川</t>
  </si>
  <si>
    <t>ABCハウジングワールド立川総合展示場 No.50</t>
  </si>
  <si>
    <t>042-512-8226</t>
  </si>
  <si>
    <t>杉山 康弘</t>
  </si>
  <si>
    <t>りそな銀行　立川支店　普通　2193759</t>
  </si>
  <si>
    <t>ネクストハウス立川</t>
  </si>
  <si>
    <t>ABCハウジングワールド八王子総合展示場 No.4</t>
  </si>
  <si>
    <t>042-540-0504</t>
  </si>
  <si>
    <t>042-540-0404</t>
  </si>
  <si>
    <t>クレバリーホーム立川</t>
  </si>
  <si>
    <t>千葉中央支店</t>
  </si>
  <si>
    <t>千葉県千葉市緑区鎌取町69-11</t>
  </si>
  <si>
    <t>グレース JOCO　6号室</t>
  </si>
  <si>
    <t>043-291-1500</t>
  </si>
  <si>
    <t>043-291-1600</t>
  </si>
  <si>
    <t>山内 克典</t>
  </si>
  <si>
    <t>八王子営業所</t>
  </si>
  <si>
    <t>東京都八王子市大谷町234</t>
  </si>
  <si>
    <t>ABCハウジングワールド八王子総合展示場 No.1</t>
  </si>
  <si>
    <t>042-649-9123</t>
  </si>
  <si>
    <t>アクティブハウス木更津</t>
  </si>
  <si>
    <t>アクティブハウス</t>
  </si>
  <si>
    <t>千葉県木更津市新宿1-3 柴野ビル1F</t>
  </si>
  <si>
    <t>　</t>
  </si>
  <si>
    <t>0438-97-6776</t>
  </si>
  <si>
    <t>0438-38-4680</t>
  </si>
  <si>
    <t>工藤 来</t>
  </si>
  <si>
    <t>刈込 美智子</t>
  </si>
  <si>
    <t>茂原営業所</t>
  </si>
  <si>
    <t>千葉県茂原市高師1746-3</t>
  </si>
  <si>
    <t>ハウジングメッセ茂原住宅公園 No.4</t>
  </si>
  <si>
    <t>043-400-2860</t>
  </si>
  <si>
    <t>ネクストハウス茂原</t>
  </si>
  <si>
    <t>愛知県大府市森岡町9-622</t>
  </si>
  <si>
    <t>健康木の住まいウッドビレッジ大府住宅展示場</t>
  </si>
  <si>
    <t>050-3457-7303</t>
  </si>
  <si>
    <t>遠藤 晃太</t>
  </si>
  <si>
    <t>りそな銀行　立川支店　普通　2193866</t>
  </si>
  <si>
    <t>ネクストハウス大府</t>
  </si>
  <si>
    <t>アクティブハウスみよし</t>
  </si>
  <si>
    <t>みよし営業所</t>
  </si>
  <si>
    <t>愛知県みよし市福谷町竹ヶ花9-1</t>
  </si>
  <si>
    <t>052-747-5644</t>
  </si>
  <si>
    <t>りそな銀行　立川支店　普通　2193908</t>
  </si>
  <si>
    <t>中京テレビハウジング大府 No.9</t>
  </si>
  <si>
    <t>りそな銀行　立川支店　普通　2193874</t>
  </si>
  <si>
    <t>アクティブハウス一宮</t>
  </si>
  <si>
    <t>一宮営業所</t>
  </si>
  <si>
    <t>愛知県一宮市水附町21-4</t>
  </si>
  <si>
    <t>りそな銀行　立川支店　普通　2193890</t>
  </si>
  <si>
    <t>市原営業所</t>
  </si>
  <si>
    <t>千葉県市原市更級1-6-9</t>
  </si>
  <si>
    <t>ハウジングメッセ市原住宅公園 No.15</t>
  </si>
  <si>
    <t>043-400-3003</t>
  </si>
  <si>
    <t>043-332-9203</t>
  </si>
  <si>
    <t>アクティブハウス八王子</t>
  </si>
  <si>
    <t>東京都八王子市左入町543-10</t>
  </si>
  <si>
    <t>042-610-2802</t>
  </si>
  <si>
    <t>042-633-4772</t>
  </si>
  <si>
    <t>鵜戸 昭一</t>
  </si>
  <si>
    <t>りそな銀行　立川支店　普通　2193809</t>
  </si>
  <si>
    <t>ID</t>
    <phoneticPr fontId="1"/>
  </si>
  <si>
    <t>ステータス</t>
    <phoneticPr fontId="1"/>
  </si>
  <si>
    <t>タイトル</t>
    <phoneticPr fontId="1"/>
  </si>
  <si>
    <t>シート分類</t>
    <rPh sb="3" eb="5">
      <t>ブンルイ</t>
    </rPh>
    <phoneticPr fontId="1"/>
  </si>
  <si>
    <t>契約営業所</t>
    <rPh sb="0" eb="2">
      <t>ケイヤク</t>
    </rPh>
    <rPh sb="2" eb="5">
      <t>エイギョウショ</t>
    </rPh>
    <phoneticPr fontId="1"/>
  </si>
  <si>
    <t>主担当営業</t>
    <rPh sb="0" eb="3">
      <t>シュタントウ</t>
    </rPh>
    <rPh sb="3" eb="5">
      <t>エイギョウ</t>
    </rPh>
    <phoneticPr fontId="1"/>
  </si>
  <si>
    <t>設計契約</t>
    <rPh sb="0" eb="4">
      <t>セッケイケイヤク</t>
    </rPh>
    <phoneticPr fontId="1"/>
  </si>
  <si>
    <t>契約ブランド</t>
    <rPh sb="0" eb="2">
      <t>ケイヤク</t>
    </rPh>
    <phoneticPr fontId="1"/>
  </si>
  <si>
    <t>本契約日</t>
    <rPh sb="0" eb="3">
      <t>ホンケイヤク</t>
    </rPh>
    <rPh sb="3" eb="4">
      <t>ビ</t>
    </rPh>
    <phoneticPr fontId="1"/>
  </si>
  <si>
    <t>設計契約日</t>
    <rPh sb="0" eb="2">
      <t>セッケイ</t>
    </rPh>
    <rPh sb="2" eb="5">
      <t>ケイヤクビ</t>
    </rPh>
    <phoneticPr fontId="1"/>
  </si>
  <si>
    <t>着工予定日</t>
    <rPh sb="0" eb="2">
      <t>チャッコウ</t>
    </rPh>
    <rPh sb="2" eb="5">
      <t>ヨテイビ</t>
    </rPh>
    <phoneticPr fontId="1"/>
  </si>
  <si>
    <t>上棟予定日</t>
    <rPh sb="0" eb="2">
      <t>ジョウトウ</t>
    </rPh>
    <rPh sb="2" eb="5">
      <t>ヨテイビ</t>
    </rPh>
    <phoneticPr fontId="1"/>
  </si>
  <si>
    <t>引渡予定参考日</t>
    <rPh sb="0" eb="2">
      <t>ヒキワタシ</t>
    </rPh>
    <rPh sb="2" eb="4">
      <t>ヨテイ</t>
    </rPh>
    <rPh sb="4" eb="6">
      <t>サンコウ</t>
    </rPh>
    <rPh sb="6" eb="7">
      <t>ビ</t>
    </rPh>
    <phoneticPr fontId="1"/>
  </si>
  <si>
    <t>最終更新日</t>
    <rPh sb="0" eb="5">
      <t>サイシュウコウシンビ</t>
    </rPh>
    <phoneticPr fontId="1"/>
  </si>
  <si>
    <t>コード</t>
    <phoneticPr fontId="1"/>
  </si>
  <si>
    <t>ClassF</t>
    <phoneticPr fontId="1"/>
  </si>
  <si>
    <t>ClassP</t>
    <phoneticPr fontId="1"/>
  </si>
  <si>
    <t>ClassG</t>
    <phoneticPr fontId="1"/>
  </si>
  <si>
    <t>DateD</t>
    <phoneticPr fontId="1"/>
  </si>
  <si>
    <t>DateE</t>
    <phoneticPr fontId="1"/>
  </si>
  <si>
    <t>DateH</t>
    <phoneticPr fontId="1"/>
  </si>
  <si>
    <t>DateJ</t>
    <phoneticPr fontId="1"/>
  </si>
  <si>
    <t>DateL</t>
    <phoneticPr fontId="1"/>
  </si>
  <si>
    <t>ClassQ</t>
    <phoneticPr fontId="1"/>
  </si>
  <si>
    <t>ClassN</t>
    <phoneticPr fontId="1"/>
  </si>
  <si>
    <t>Class033</t>
    <phoneticPr fontId="1"/>
  </si>
  <si>
    <t>工事名</t>
    <rPh sb="0" eb="3">
      <t>コウジメイ</t>
    </rPh>
    <phoneticPr fontId="1"/>
  </si>
  <si>
    <t>ID</t>
  </si>
  <si>
    <t>ステータス</t>
  </si>
  <si>
    <t>タイトル</t>
  </si>
  <si>
    <t>[本契]新規作成</t>
  </si>
  <si>
    <t>[本契]差戻し</t>
  </si>
  <si>
    <t>設計契約→本契約</t>
  </si>
  <si>
    <t>[本契]WF申請</t>
  </si>
  <si>
    <t>[設契]新規作成</t>
  </si>
  <si>
    <t>[設契]差戻し</t>
  </si>
  <si>
    <t>[設契]WF申請</t>
  </si>
  <si>
    <t>ステータスID</t>
    <phoneticPr fontId="1"/>
  </si>
  <si>
    <t>ステータス一覧</t>
    <rPh sb="5" eb="7">
      <t>イチラン</t>
    </rPh>
    <phoneticPr fontId="1"/>
  </si>
  <si>
    <t>種別</t>
    <rPh sb="0" eb="2">
      <t>シュベツ</t>
    </rPh>
    <phoneticPr fontId="1"/>
  </si>
  <si>
    <t>本契約</t>
    <rPh sb="0" eb="3">
      <t>ホンケイヤク</t>
    </rPh>
    <phoneticPr fontId="1"/>
  </si>
  <si>
    <t>シート分類一覧</t>
    <rPh sb="3" eb="5">
      <t>ブンルイ</t>
    </rPh>
    <rPh sb="5" eb="7">
      <t>イチラン</t>
    </rPh>
    <phoneticPr fontId="1"/>
  </si>
  <si>
    <t>店舗名</t>
  </si>
  <si>
    <t>ユーザID</t>
  </si>
  <si>
    <t>ログインID</t>
  </si>
  <si>
    <t>名前</t>
  </si>
  <si>
    <t>組織コード</t>
  </si>
  <si>
    <t>組織</t>
  </si>
  <si>
    <t>メールアドレス</t>
  </si>
  <si>
    <t>kmjco01461</t>
  </si>
  <si>
    <t>植田 寛人</t>
  </si>
  <si>
    <t>next16412</t>
  </si>
  <si>
    <t>kmjco01194</t>
  </si>
  <si>
    <t>岡田 健太郎</t>
  </si>
  <si>
    <t>akco2118</t>
  </si>
  <si>
    <t>森下 恭行</t>
  </si>
  <si>
    <t>akco80388</t>
  </si>
  <si>
    <t>岡田 隆</t>
  </si>
  <si>
    <t>ntkco16421</t>
  </si>
  <si>
    <t>蘇武 曜輝</t>
  </si>
  <si>
    <t>akco1087</t>
  </si>
  <si>
    <t>正田 克之</t>
  </si>
  <si>
    <t>ntkco12241</t>
  </si>
  <si>
    <t>山田 由美子</t>
  </si>
  <si>
    <t>kmjco01547</t>
  </si>
  <si>
    <t>近藤 菜緒</t>
  </si>
  <si>
    <t>next18563</t>
  </si>
  <si>
    <t>kmjco33587</t>
  </si>
  <si>
    <t>福嶋 匠</t>
  </si>
  <si>
    <t>ntkco16463</t>
  </si>
  <si>
    <t>諏訪 愛</t>
  </si>
  <si>
    <t>next16423</t>
  </si>
  <si>
    <t>中本 佳希</t>
  </si>
  <si>
    <t>next18558</t>
  </si>
  <si>
    <t>片岡 信亮</t>
  </si>
  <si>
    <t>next16415</t>
  </si>
  <si>
    <t>鈴木 晴江</t>
  </si>
  <si>
    <t>next18564</t>
  </si>
  <si>
    <t>erika@fitphp</t>
  </si>
  <si>
    <t>エリカ</t>
  </si>
  <si>
    <t>ntkco14334</t>
  </si>
  <si>
    <t>渡部 直輝</t>
  </si>
  <si>
    <t>ntkco13265</t>
  </si>
  <si>
    <t>五十嵐 尚子</t>
  </si>
  <si>
    <t>kmjco33590</t>
  </si>
  <si>
    <t>有賀 健太郎</t>
  </si>
  <si>
    <t>next17493</t>
  </si>
  <si>
    <t>川上 玲緒</t>
  </si>
  <si>
    <t>ntkco14330</t>
  </si>
  <si>
    <t>田中 絵理</t>
  </si>
  <si>
    <t>next18520</t>
  </si>
  <si>
    <t>保坂 眞亜子</t>
  </si>
  <si>
    <t>akco2132</t>
  </si>
  <si>
    <t>原田 朋保</t>
  </si>
  <si>
    <t>ntkco0001</t>
  </si>
  <si>
    <t>豊蔵 一幸</t>
  </si>
  <si>
    <t>役員</t>
  </si>
  <si>
    <t>next16395</t>
  </si>
  <si>
    <t>齊藤 俊道</t>
  </si>
  <si>
    <t>next19611</t>
  </si>
  <si>
    <t>関谷 知香</t>
  </si>
  <si>
    <t>clev02604</t>
  </si>
  <si>
    <t>川越 順哉</t>
  </si>
  <si>
    <t>kmjco30556</t>
  </si>
  <si>
    <t>露﨑 直樹</t>
  </si>
  <si>
    <t>clev01497</t>
  </si>
  <si>
    <t>吉村 竜一</t>
  </si>
  <si>
    <t>next17473</t>
  </si>
  <si>
    <t>町田 元気</t>
  </si>
  <si>
    <t>next20627</t>
  </si>
  <si>
    <t>渕野 倫弘</t>
  </si>
  <si>
    <t>t.fuchino@next-hd.co.jp</t>
  </si>
  <si>
    <t>next16461</t>
  </si>
  <si>
    <t>森田 玲大</t>
  </si>
  <si>
    <t>kmjco01517</t>
  </si>
  <si>
    <t>井上 京子</t>
  </si>
  <si>
    <t>aaron@fitphp</t>
  </si>
  <si>
    <t>tricia@fitphp</t>
  </si>
  <si>
    <t>トリシア</t>
  </si>
  <si>
    <t>ntkco10137</t>
  </si>
  <si>
    <t>後藤 利治</t>
  </si>
  <si>
    <t>kmjco01364</t>
  </si>
  <si>
    <t>akco4186</t>
  </si>
  <si>
    <t>早川 愛</t>
  </si>
  <si>
    <t>ntkco12216</t>
  </si>
  <si>
    <t>野木 健一郎</t>
  </si>
  <si>
    <t>ntkco8073</t>
  </si>
  <si>
    <t>齊木 怜香</t>
  </si>
  <si>
    <t>next18542</t>
  </si>
  <si>
    <t>ntkco5038</t>
  </si>
  <si>
    <t>next19603</t>
  </si>
  <si>
    <t>next17503</t>
  </si>
  <si>
    <t>宮田 幸祐</t>
  </si>
  <si>
    <t>next70304</t>
  </si>
  <si>
    <t>next15349</t>
  </si>
  <si>
    <t>北村 太志</t>
  </si>
  <si>
    <t>next20626</t>
  </si>
  <si>
    <t>野中 美月</t>
  </si>
  <si>
    <t>ntkco13276</t>
  </si>
  <si>
    <t>next16394</t>
  </si>
  <si>
    <t>髙須 友菜</t>
  </si>
  <si>
    <t>akco6254</t>
  </si>
  <si>
    <t>ntkco7067</t>
  </si>
  <si>
    <t>河村 あゆみ</t>
  </si>
  <si>
    <t>akco5217</t>
  </si>
  <si>
    <t>宮倉 由紀</t>
  </si>
  <si>
    <t>akco5244</t>
  </si>
  <si>
    <t>next18523</t>
  </si>
  <si>
    <t>石井 祥雄</t>
  </si>
  <si>
    <t>ntkco13274</t>
  </si>
  <si>
    <t>山﨑 大樹</t>
  </si>
  <si>
    <t>kmjco01247</t>
  </si>
  <si>
    <t>秦野 勇輝</t>
  </si>
  <si>
    <t>akco6282</t>
  </si>
  <si>
    <t>ntkco9095</t>
  </si>
  <si>
    <t>細井 理沙</t>
  </si>
  <si>
    <t>akco70360</t>
  </si>
  <si>
    <t>熊谷 渚</t>
  </si>
  <si>
    <t>ntkco8089</t>
  </si>
  <si>
    <t>宮入 敬子</t>
  </si>
  <si>
    <t>ntkco13264</t>
  </si>
  <si>
    <t>松井 かおり</t>
  </si>
  <si>
    <t>next19579</t>
  </si>
  <si>
    <t>内藤 雅弘</t>
  </si>
  <si>
    <t>akco5197</t>
  </si>
  <si>
    <t>横井 誠月</t>
  </si>
  <si>
    <t>akco5220</t>
  </si>
  <si>
    <t>入谷 優子</t>
  </si>
  <si>
    <t>ntkco11189</t>
  </si>
  <si>
    <t>長谷川 望</t>
  </si>
  <si>
    <t>ntkco14307</t>
  </si>
  <si>
    <t>金森 夏美</t>
  </si>
  <si>
    <t>next17483</t>
  </si>
  <si>
    <t>高橋 光晴</t>
  </si>
  <si>
    <t>next19594</t>
  </si>
  <si>
    <t>山口 賢人</t>
  </si>
  <si>
    <t>next15371</t>
  </si>
  <si>
    <t>next17485</t>
  </si>
  <si>
    <t>加藤 亮子</t>
  </si>
  <si>
    <t>kmjco01552</t>
  </si>
  <si>
    <t>山口 智彦</t>
  </si>
  <si>
    <t>ntkcoic01</t>
  </si>
  <si>
    <t>吉田 房江</t>
  </si>
  <si>
    <t>ntkco0009</t>
  </si>
  <si>
    <t>next70302</t>
  </si>
  <si>
    <t>門本 早代</t>
  </si>
  <si>
    <t>ntkco6054</t>
  </si>
  <si>
    <t>豊蔵 恵美</t>
  </si>
  <si>
    <t>next19569</t>
  </si>
  <si>
    <t>池田 大輝</t>
  </si>
  <si>
    <t>ntkco0008</t>
  </si>
  <si>
    <t>kmjco01407</t>
  </si>
  <si>
    <t>菅原 智子</t>
  </si>
  <si>
    <t>next15347</t>
  </si>
  <si>
    <t>内田 早紀</t>
  </si>
  <si>
    <t>next16398</t>
  </si>
  <si>
    <t>ntkco7066</t>
  </si>
  <si>
    <t>島田 昌昭</t>
  </si>
  <si>
    <t>m.shimada@cleverlyhome.jp</t>
  </si>
  <si>
    <t>kmjco01497</t>
  </si>
  <si>
    <t>kmjco01482</t>
  </si>
  <si>
    <t>会田 智恵</t>
  </si>
  <si>
    <t>kmjco31466</t>
  </si>
  <si>
    <t>石黒 瑞希</t>
  </si>
  <si>
    <t>kmjco01549</t>
  </si>
  <si>
    <t>宗像 美玖</t>
  </si>
  <si>
    <t>kmjco34590</t>
  </si>
  <si>
    <t>石川 美波</t>
  </si>
  <si>
    <t>kmjco32577</t>
  </si>
  <si>
    <t>松井 翔太</t>
  </si>
  <si>
    <t>kmjco32578</t>
  </si>
  <si>
    <t>川合 さやか</t>
  </si>
  <si>
    <t>kmjco32576</t>
  </si>
  <si>
    <t>酒巻 しのぶ</t>
  </si>
  <si>
    <t>kmjco01405</t>
  </si>
  <si>
    <t>小川 夏実</t>
  </si>
  <si>
    <t>next19598</t>
  </si>
  <si>
    <t>長縄 由美</t>
  </si>
  <si>
    <t>next19574</t>
  </si>
  <si>
    <t>ntkco12242</t>
  </si>
  <si>
    <t>日野 拓望</t>
  </si>
  <si>
    <t>ntkco13292</t>
  </si>
  <si>
    <t>アシバールース</t>
  </si>
  <si>
    <t>ntkco6057</t>
  </si>
  <si>
    <t>堀川 長平</t>
  </si>
  <si>
    <t>next16408</t>
  </si>
  <si>
    <t>中村 賢治</t>
  </si>
  <si>
    <t>ntkco16437</t>
  </si>
  <si>
    <t>渡邉 賢二</t>
  </si>
  <si>
    <t>kmjco01492</t>
  </si>
  <si>
    <t>岩本 由美</t>
  </si>
  <si>
    <t>kmjco33589</t>
  </si>
  <si>
    <t>clev03628</t>
  </si>
  <si>
    <t>渡辺 帆南</t>
  </si>
  <si>
    <t>kmjco01206</t>
  </si>
  <si>
    <t>小角 直樹</t>
  </si>
  <si>
    <t>next17472</t>
  </si>
  <si>
    <t>next14296</t>
  </si>
  <si>
    <t>菅原 千夏</t>
  </si>
  <si>
    <t>next15348</t>
  </si>
  <si>
    <t>梶井 麻悠香</t>
  </si>
  <si>
    <t>ntkco13245</t>
  </si>
  <si>
    <t>青木 彩</t>
  </si>
  <si>
    <t>next18516</t>
  </si>
  <si>
    <t>津原 陸斗</t>
  </si>
  <si>
    <t>r.tsuhara@next-hd.co.jp</t>
  </si>
  <si>
    <t>ntkco2018</t>
  </si>
  <si>
    <t>小竹 忍</t>
  </si>
  <si>
    <t>ntkco6055</t>
  </si>
  <si>
    <t>武藤 高志</t>
  </si>
  <si>
    <t>akco60417</t>
  </si>
  <si>
    <t>丸井 伸郎</t>
  </si>
  <si>
    <t>next19618</t>
  </si>
  <si>
    <t>堀口 朝香</t>
  </si>
  <si>
    <t>next19571</t>
  </si>
  <si>
    <t>佐藤 千尋</t>
  </si>
  <si>
    <t>next16422</t>
  </si>
  <si>
    <t>ntkco13247</t>
  </si>
  <si>
    <t>kmjco01514</t>
  </si>
  <si>
    <t>akco60428</t>
  </si>
  <si>
    <t>伊東 宏一郎</t>
  </si>
  <si>
    <t>next16450</t>
  </si>
  <si>
    <t>大塚 寿昌</t>
  </si>
  <si>
    <t>next19590</t>
  </si>
  <si>
    <t>稻留 卓矢</t>
  </si>
  <si>
    <t>next16404</t>
  </si>
  <si>
    <t>金井 志織</t>
  </si>
  <si>
    <t>next40285</t>
  </si>
  <si>
    <t>山田 怜子</t>
  </si>
  <si>
    <t>ntkco17479</t>
  </si>
  <si>
    <t>next18567</t>
  </si>
  <si>
    <t>山梨 憲史</t>
  </si>
  <si>
    <t>next19586</t>
  </si>
  <si>
    <t>松村 花純</t>
  </si>
  <si>
    <t>next19575</t>
  </si>
  <si>
    <t>kmjco01232</t>
  </si>
  <si>
    <t>東條 和弘</t>
  </si>
  <si>
    <t>kmjco01499</t>
  </si>
  <si>
    <t>滝田 健二</t>
  </si>
  <si>
    <t>ntkco18565</t>
  </si>
  <si>
    <t>マリネル ガルシア</t>
  </si>
  <si>
    <t>next18529</t>
  </si>
  <si>
    <t>田部井 優果</t>
  </si>
  <si>
    <t>next17487</t>
  </si>
  <si>
    <t>安達 学</t>
  </si>
  <si>
    <t>kmjco01523</t>
  </si>
  <si>
    <t>宮下 仁美</t>
  </si>
  <si>
    <t>ntkco13248</t>
  </si>
  <si>
    <t>大内 詩織</t>
  </si>
  <si>
    <t>next18554</t>
  </si>
  <si>
    <t>久保 恵</t>
  </si>
  <si>
    <t>ntkco13294</t>
  </si>
  <si>
    <t>加藤 斉</t>
  </si>
  <si>
    <t>next17475</t>
  </si>
  <si>
    <t>井尾 絢香</t>
  </si>
  <si>
    <t>next50312</t>
  </si>
  <si>
    <t>藤永 賢壱</t>
  </si>
  <si>
    <t>ntkco5045</t>
  </si>
  <si>
    <t>kmj10001</t>
  </si>
  <si>
    <t>next16420</t>
  </si>
  <si>
    <t>田上 純</t>
  </si>
  <si>
    <t>ntkco15385</t>
  </si>
  <si>
    <t>next15387</t>
  </si>
  <si>
    <t>山之内 香織</t>
  </si>
  <si>
    <t>kmjco01274</t>
  </si>
  <si>
    <t>林 稔</t>
  </si>
  <si>
    <t>kmjco01440</t>
  </si>
  <si>
    <t>高梨 一也</t>
  </si>
  <si>
    <t>next18543</t>
  </si>
  <si>
    <t>佐藤 直貴</t>
  </si>
  <si>
    <t>ntkco11167</t>
  </si>
  <si>
    <t>鈴木 正一</t>
  </si>
  <si>
    <t>ntkco15390</t>
  </si>
  <si>
    <t>山本 賢司</t>
  </si>
  <si>
    <t>next15372</t>
  </si>
  <si>
    <t>ntkco15362</t>
  </si>
  <si>
    <t>平川 卓弥</t>
  </si>
  <si>
    <t>next19568</t>
  </si>
  <si>
    <t>阿部 花音</t>
  </si>
  <si>
    <t>next15351</t>
  </si>
  <si>
    <t>深津 麻里</t>
  </si>
  <si>
    <t>kmjco33586</t>
  </si>
  <si>
    <t>榎本 真一郎</t>
  </si>
  <si>
    <t>ntkco4031</t>
  </si>
  <si>
    <t>西川 眞</t>
  </si>
  <si>
    <t>next17495</t>
  </si>
  <si>
    <t>next16457</t>
  </si>
  <si>
    <t>木島 ともみ</t>
  </si>
  <si>
    <t>ntkco30029</t>
  </si>
  <si>
    <t>松岡 美由紀</t>
  </si>
  <si>
    <t>ntkco10151</t>
  </si>
  <si>
    <t>唐澤 功</t>
  </si>
  <si>
    <t>next19578</t>
  </si>
  <si>
    <t>古内 敦也</t>
  </si>
  <si>
    <t>next18553</t>
  </si>
  <si>
    <t>森 雅浩</t>
  </si>
  <si>
    <t>kmjco01191</t>
  </si>
  <si>
    <t>伊藤 憲義</t>
  </si>
  <si>
    <t>kmjco32571</t>
  </si>
  <si>
    <t>next15345</t>
  </si>
  <si>
    <t>kmjco01097</t>
  </si>
  <si>
    <t>吉野 信夫</t>
  </si>
  <si>
    <t>next18537</t>
  </si>
  <si>
    <t>浅見 雅士</t>
  </si>
  <si>
    <t>ntkco12233</t>
  </si>
  <si>
    <t>河関 宏昌</t>
  </si>
  <si>
    <t>next19608</t>
  </si>
  <si>
    <t>酒井 睦</t>
  </si>
  <si>
    <t>ntkco16433</t>
  </si>
  <si>
    <t>髙木 友子</t>
  </si>
  <si>
    <t>next17498</t>
  </si>
  <si>
    <t>髙井 寧子</t>
  </si>
  <si>
    <t>next17476</t>
  </si>
  <si>
    <t>森田 雄太郎</t>
  </si>
  <si>
    <t>next19599</t>
  </si>
  <si>
    <t>武 司</t>
  </si>
  <si>
    <t>ntkco4034</t>
  </si>
  <si>
    <t>黒川 民男</t>
  </si>
  <si>
    <t>ntkco15361</t>
  </si>
  <si>
    <t>宇野 弘晃</t>
  </si>
  <si>
    <t>ntkco15366</t>
  </si>
  <si>
    <t>藤田 裕圭</t>
  </si>
  <si>
    <t>next18562</t>
  </si>
  <si>
    <t>小笠原 栄</t>
  </si>
  <si>
    <t>next16453</t>
  </si>
  <si>
    <t>杉浦 舞有</t>
  </si>
  <si>
    <t>ntkco12228</t>
  </si>
  <si>
    <t>安形 倖一</t>
  </si>
  <si>
    <t>next19617</t>
  </si>
  <si>
    <t>榎戸 真由美</t>
  </si>
  <si>
    <t>next16441</t>
  </si>
  <si>
    <t>横畠 愛佳</t>
  </si>
  <si>
    <t>next20625</t>
  </si>
  <si>
    <t>松本 伯夫</t>
  </si>
  <si>
    <t>next17510</t>
  </si>
  <si>
    <t>小原 啓士</t>
  </si>
  <si>
    <t>ntkco16443</t>
  </si>
  <si>
    <t>金井 千秋</t>
  </si>
  <si>
    <t>next19592</t>
  </si>
  <si>
    <t>野呂 恵菜</t>
  </si>
  <si>
    <t>next18528</t>
  </si>
  <si>
    <t>大西 駿介</t>
  </si>
  <si>
    <t>next17504</t>
  </si>
  <si>
    <t>田渕 留美子</t>
  </si>
  <si>
    <t>next19602</t>
  </si>
  <si>
    <t>鈴木 直巳</t>
  </si>
  <si>
    <t>next19591</t>
  </si>
  <si>
    <t>北村 千穂</t>
  </si>
  <si>
    <t>ntkco16439</t>
  </si>
  <si>
    <t>梅澤 利貴</t>
  </si>
  <si>
    <t>next18552</t>
  </si>
  <si>
    <t>新沼 茂</t>
  </si>
  <si>
    <t>next16399</t>
  </si>
  <si>
    <t>ntkco15391</t>
  </si>
  <si>
    <t>牛來 忠幸</t>
  </si>
  <si>
    <t>kmjco32585</t>
  </si>
  <si>
    <t>野口 誠作</t>
  </si>
  <si>
    <t>akco3146</t>
  </si>
  <si>
    <t>玉井 麻里</t>
  </si>
  <si>
    <t>next18557</t>
  </si>
  <si>
    <t>next18551</t>
  </si>
  <si>
    <t>kmjco01548</t>
  </si>
  <si>
    <t>next18515</t>
  </si>
  <si>
    <t>next18521</t>
  </si>
  <si>
    <t>next18517</t>
  </si>
  <si>
    <t>clev01544</t>
  </si>
  <si>
    <t>next18540</t>
  </si>
  <si>
    <t>ntkco8090</t>
  </si>
  <si>
    <t>next17531</t>
  </si>
  <si>
    <t>next17535</t>
  </si>
  <si>
    <t>ntkco13273</t>
  </si>
  <si>
    <t>kmjco31560</t>
  </si>
  <si>
    <t>kmjco31468</t>
  </si>
  <si>
    <t>kmjco01553</t>
  </si>
  <si>
    <t>ntkco14310</t>
  </si>
  <si>
    <t>next17532</t>
  </si>
  <si>
    <t>ntkco16464</t>
  </si>
  <si>
    <t>ntkco9117</t>
  </si>
  <si>
    <t>ntkco0006</t>
  </si>
  <si>
    <t>next19610</t>
  </si>
  <si>
    <t>next19581</t>
  </si>
  <si>
    <t>next18527</t>
  </si>
  <si>
    <t>next17469</t>
  </si>
  <si>
    <t>next17484</t>
  </si>
  <si>
    <t>next15389</t>
  </si>
  <si>
    <t>ntkco7061</t>
  </si>
  <si>
    <t>當銘 秋乃</t>
  </si>
  <si>
    <t>next17506</t>
  </si>
  <si>
    <t>next19573</t>
  </si>
  <si>
    <t>鈴木 陽順</t>
  </si>
  <si>
    <t>next17489</t>
  </si>
  <si>
    <t>佐藤 春樹</t>
  </si>
  <si>
    <t>agraph01507</t>
  </si>
  <si>
    <t>青地 渉</t>
  </si>
  <si>
    <t>ntkco6056</t>
  </si>
  <si>
    <t>佐藤 宏幸</t>
  </si>
  <si>
    <t>ntkco12236</t>
  </si>
  <si>
    <t>中嶋 透</t>
  </si>
  <si>
    <t>next19605</t>
  </si>
  <si>
    <t>濱口 宏之</t>
  </si>
  <si>
    <t>ntkco8078</t>
  </si>
  <si>
    <t>山下 克典</t>
  </si>
  <si>
    <t>ntkco16431</t>
  </si>
  <si>
    <t>佐藤 映里</t>
  </si>
  <si>
    <t>clev01524</t>
  </si>
  <si>
    <t>next18566</t>
  </si>
  <si>
    <t>小林 義典</t>
  </si>
  <si>
    <t>next18539</t>
  </si>
  <si>
    <t>小西 由香里</t>
  </si>
  <si>
    <t>next19615</t>
  </si>
  <si>
    <t>畦地 都</t>
  </si>
  <si>
    <t>next19616</t>
  </si>
  <si>
    <t>倉嶋 真章</t>
  </si>
  <si>
    <t>next20624</t>
  </si>
  <si>
    <t>平井 利明</t>
  </si>
  <si>
    <t>next20623</t>
  </si>
  <si>
    <t>Yan Yu</t>
  </si>
  <si>
    <t>next20622</t>
  </si>
  <si>
    <t>本木 千晴</t>
  </si>
  <si>
    <t>c.motoki@next-hd.co.jp</t>
  </si>
  <si>
    <t>next20621</t>
  </si>
  <si>
    <t>望月 夏輝</t>
  </si>
  <si>
    <t>next20620</t>
  </si>
  <si>
    <t>室谷 侑輝</t>
  </si>
  <si>
    <t>next20619</t>
  </si>
  <si>
    <t>斉藤 類</t>
  </si>
  <si>
    <t>kmjco34592</t>
  </si>
  <si>
    <t>八巻 延昌</t>
  </si>
  <si>
    <t>kmjco34591</t>
  </si>
  <si>
    <t>秋本 周作</t>
  </si>
  <si>
    <t>ntkco0002</t>
  </si>
  <si>
    <t>next17500</t>
  </si>
  <si>
    <t>荒井 直子</t>
  </si>
  <si>
    <t>d1kk1003</t>
  </si>
  <si>
    <t>阿部 千咲</t>
  </si>
  <si>
    <t>next18525</t>
  </si>
  <si>
    <t>山口 剛実</t>
  </si>
  <si>
    <t>next18548</t>
  </si>
  <si>
    <t>kmjco01308</t>
  </si>
  <si>
    <t>akco5198</t>
  </si>
  <si>
    <t>akco6253</t>
  </si>
  <si>
    <t>櫻井 悠貴</t>
  </si>
  <si>
    <t>ntkco2020</t>
  </si>
  <si>
    <t>next19614</t>
  </si>
  <si>
    <t>三芳 良太</t>
  </si>
  <si>
    <t>kmjco01545</t>
  </si>
  <si>
    <t>next18561</t>
  </si>
  <si>
    <t>中川 真悟</t>
  </si>
  <si>
    <t>kmjco01532</t>
  </si>
  <si>
    <t>齋藤 哲也</t>
  </si>
  <si>
    <t>next15355</t>
  </si>
  <si>
    <t>堀田 裕子</t>
  </si>
  <si>
    <t>next14299</t>
  </si>
  <si>
    <t>松本 真由</t>
  </si>
  <si>
    <t>clev01370</t>
  </si>
  <si>
    <t>藤井 知子</t>
  </si>
  <si>
    <t>ntkco3030</t>
  </si>
  <si>
    <t>長谷川 元気</t>
  </si>
  <si>
    <t>next18556</t>
  </si>
  <si>
    <t>小野 広大</t>
  </si>
  <si>
    <t>next18518</t>
  </si>
  <si>
    <t>next19607</t>
  </si>
  <si>
    <t>八代 美波</t>
  </si>
  <si>
    <t>next16437</t>
  </si>
  <si>
    <t>田中 彩</t>
  </si>
  <si>
    <t>next16427</t>
  </si>
  <si>
    <t>志村 和俊</t>
  </si>
  <si>
    <t>kmjco01436</t>
  </si>
  <si>
    <t>酒巻 美穂</t>
  </si>
  <si>
    <t>next19572</t>
  </si>
  <si>
    <t>末木 翔也</t>
  </si>
  <si>
    <t>next18513</t>
  </si>
  <si>
    <t>ntkco9120</t>
  </si>
  <si>
    <t>kmj10002</t>
  </si>
  <si>
    <t>栗原 現</t>
  </si>
  <si>
    <t>ntkco11185</t>
  </si>
  <si>
    <t>間手野 宏一</t>
  </si>
  <si>
    <t>ntkco0014</t>
  </si>
  <si>
    <t>篠塚 岳彦</t>
  </si>
  <si>
    <t>next15374</t>
  </si>
  <si>
    <t>遠藤 ユウジ</t>
  </si>
  <si>
    <t>next17492</t>
  </si>
  <si>
    <t>芦田 友絵</t>
  </si>
  <si>
    <t>next40258</t>
  </si>
  <si>
    <t>伏見 美和</t>
  </si>
  <si>
    <t>ntkco15354</t>
  </si>
  <si>
    <t>松原 博人</t>
  </si>
  <si>
    <t>next16446</t>
  </si>
  <si>
    <t>田原 修</t>
  </si>
  <si>
    <t>kmjco01551</t>
  </si>
  <si>
    <t>武藤 伸明</t>
  </si>
  <si>
    <t>ntkco3025</t>
  </si>
  <si>
    <t>佐京 智</t>
  </si>
  <si>
    <t>kmjco32574</t>
  </si>
  <si>
    <t>立川 和貴</t>
  </si>
  <si>
    <t>next17470</t>
  </si>
  <si>
    <t>next18522</t>
  </si>
  <si>
    <t>小岩 孝幸</t>
  </si>
  <si>
    <t>next19612</t>
  </si>
  <si>
    <t>大谷 寛</t>
  </si>
  <si>
    <t>next19613</t>
  </si>
  <si>
    <t>next17486</t>
  </si>
  <si>
    <t>小坂 志織</t>
  </si>
  <si>
    <t>ntkco10136</t>
  </si>
  <si>
    <t>阿部 初紀</t>
  </si>
  <si>
    <t>ntkco11196</t>
  </si>
  <si>
    <t>長谷 弘美</t>
  </si>
  <si>
    <t>next18549</t>
  </si>
  <si>
    <t>李 相真</t>
  </si>
  <si>
    <t>next19596</t>
  </si>
  <si>
    <t>kmjco31564</t>
  </si>
  <si>
    <t>井桁 勝</t>
  </si>
  <si>
    <t>next19570</t>
  </si>
  <si>
    <t>kmjco01554</t>
  </si>
  <si>
    <t>akco2100</t>
  </si>
  <si>
    <t>横井 英治</t>
  </si>
  <si>
    <t>kmjco01375</t>
  </si>
  <si>
    <t>上野 英一</t>
  </si>
  <si>
    <t>ntkco5036</t>
  </si>
  <si>
    <t>伊藤 理奈</t>
  </si>
  <si>
    <t>ntkco16405</t>
  </si>
  <si>
    <t>生方 啓希</t>
  </si>
  <si>
    <t>next18519</t>
  </si>
  <si>
    <t>山家 由大</t>
  </si>
  <si>
    <t>clev01368</t>
  </si>
  <si>
    <t>井ノ川 麻美</t>
  </si>
  <si>
    <t>ntkco15393</t>
  </si>
  <si>
    <t>中村 麻美子</t>
  </si>
  <si>
    <t>next40268</t>
  </si>
  <si>
    <t>中村 奈生</t>
  </si>
  <si>
    <t>ntkco0003</t>
  </si>
  <si>
    <t>川名 真治</t>
  </si>
  <si>
    <t>akco4190</t>
  </si>
  <si>
    <t>市川 典正</t>
  </si>
  <si>
    <t>ntkco8091</t>
  </si>
  <si>
    <t>桑折 拓哉</t>
  </si>
  <si>
    <t>ntkco0007</t>
  </si>
  <si>
    <t>後藤 傑</t>
  </si>
  <si>
    <t>s.goto@eco-ntk.com</t>
  </si>
  <si>
    <t>next17501</t>
  </si>
  <si>
    <t>next14298</t>
  </si>
  <si>
    <t>田ノ岡 春菜</t>
  </si>
  <si>
    <t>clev01534</t>
  </si>
  <si>
    <t>大濵 直紀</t>
  </si>
  <si>
    <t>next18547</t>
  </si>
  <si>
    <t>稲葉 祐介</t>
  </si>
  <si>
    <t>ntkco0005</t>
  </si>
  <si>
    <t>小池 泰久</t>
  </si>
  <si>
    <t>kmjco32572</t>
  </si>
  <si>
    <t>三澤 瑞穂</t>
  </si>
  <si>
    <t>m.misawa@next-hd.co.jp</t>
  </si>
  <si>
    <t>next15337</t>
  </si>
  <si>
    <t>石黒 奈々子</t>
  </si>
  <si>
    <t>next18541</t>
  </si>
  <si>
    <t>next17488</t>
  </si>
  <si>
    <t>中西 早織</t>
  </si>
  <si>
    <t>ntkco4032</t>
  </si>
  <si>
    <t>今井 加奈恵</t>
  </si>
  <si>
    <t>kmjco30555</t>
  </si>
  <si>
    <t>真保 典子</t>
  </si>
  <si>
    <t>next19595</t>
  </si>
  <si>
    <t>松崎 文彦</t>
  </si>
  <si>
    <t>agraph01526</t>
  </si>
  <si>
    <t>ntkco11195</t>
  </si>
  <si>
    <t>中村 篤人</t>
  </si>
  <si>
    <t>next18538</t>
  </si>
  <si>
    <t>山川 由美</t>
  </si>
  <si>
    <t>next18555</t>
  </si>
  <si>
    <t>加藤 貴子</t>
  </si>
  <si>
    <t>ntkco14329</t>
  </si>
  <si>
    <t>吉田 久美子</t>
  </si>
  <si>
    <t>kmjco31561</t>
  </si>
  <si>
    <t>髙山 君代</t>
  </si>
  <si>
    <t>ntkco6053</t>
  </si>
  <si>
    <t>前田 泰寛</t>
  </si>
  <si>
    <t>ntkco11160</t>
  </si>
  <si>
    <t>南川 陽子</t>
  </si>
  <si>
    <t>akco6267</t>
  </si>
  <si>
    <t>ntkco14331</t>
  </si>
  <si>
    <t>佐野 彩佳</t>
  </si>
  <si>
    <t>next19609</t>
  </si>
  <si>
    <t>伊藤 亜子</t>
  </si>
  <si>
    <t>ntkco19597</t>
  </si>
  <si>
    <t>宮﨑 裕之</t>
  </si>
  <si>
    <t>next19606</t>
  </si>
  <si>
    <t>滝澤 みづき</t>
  </si>
  <si>
    <t>kmjco01521</t>
  </si>
  <si>
    <t>山口 亜衣美</t>
  </si>
  <si>
    <t>ntkco12213</t>
  </si>
  <si>
    <t>next18545</t>
  </si>
  <si>
    <t>ntkco16411</t>
  </si>
  <si>
    <t>next19593</t>
  </si>
  <si>
    <t>上西 綾瀬</t>
  </si>
  <si>
    <t>kmjco31558</t>
  </si>
  <si>
    <t>next19576</t>
  </si>
  <si>
    <t>ntkco15392</t>
  </si>
  <si>
    <t>next18546</t>
  </si>
  <si>
    <t>kmjco31467</t>
  </si>
  <si>
    <t>next18550</t>
  </si>
  <si>
    <t>kmjco32584</t>
  </si>
  <si>
    <t>ntkco16406</t>
  </si>
  <si>
    <t>ntkco5040</t>
  </si>
  <si>
    <t>clev01448</t>
  </si>
  <si>
    <t>next18560</t>
  </si>
  <si>
    <t>next17481</t>
  </si>
  <si>
    <t>next19585</t>
  </si>
  <si>
    <t>clev01454</t>
  </si>
  <si>
    <t>kmjco32575</t>
  </si>
  <si>
    <t>kmjco01005</t>
  </si>
  <si>
    <t>next15340</t>
  </si>
  <si>
    <t>ntkco9124</t>
  </si>
  <si>
    <t>ntkco12226</t>
  </si>
  <si>
    <t>ntkco3024</t>
  </si>
  <si>
    <t>next16451</t>
  </si>
  <si>
    <t>next15339</t>
  </si>
  <si>
    <t>ntkco14326</t>
  </si>
  <si>
    <t>next17478</t>
  </si>
  <si>
    <t>next17482</t>
  </si>
  <si>
    <t>akco70477</t>
  </si>
  <si>
    <t>akco60449</t>
  </si>
  <si>
    <t>akco3143</t>
  </si>
  <si>
    <t>ntkco7059</t>
  </si>
  <si>
    <t>clev01455</t>
  </si>
  <si>
    <t>ntkco14336</t>
  </si>
  <si>
    <t>next40277</t>
  </si>
  <si>
    <t>next15343</t>
  </si>
  <si>
    <t>next17474</t>
  </si>
  <si>
    <t>next15378</t>
  </si>
  <si>
    <t>ntkco16436</t>
  </si>
  <si>
    <t>ntkco16432</t>
  </si>
  <si>
    <t>next16462</t>
  </si>
  <si>
    <t>next40259</t>
  </si>
  <si>
    <t>next16414</t>
  </si>
  <si>
    <t>next30232</t>
  </si>
  <si>
    <t>next15344</t>
  </si>
  <si>
    <t>next16465</t>
  </si>
  <si>
    <t>next16419</t>
  </si>
  <si>
    <t>ntkco0012</t>
  </si>
  <si>
    <t>next16460</t>
  </si>
  <si>
    <t>next15379</t>
  </si>
  <si>
    <t>next16403</t>
  </si>
  <si>
    <t>akco70316</t>
  </si>
  <si>
    <t>next15381</t>
  </si>
  <si>
    <t>next16402</t>
  </si>
  <si>
    <t>next15382</t>
  </si>
  <si>
    <t>next16440</t>
  </si>
  <si>
    <t>next16458</t>
  </si>
  <si>
    <t>next14295</t>
  </si>
  <si>
    <t>kmjco30557</t>
  </si>
  <si>
    <t>kmjco01143</t>
  </si>
  <si>
    <t>kmjco01367</t>
  </si>
  <si>
    <t>kmjco01550</t>
  </si>
  <si>
    <t>kmjco31563</t>
  </si>
  <si>
    <t>kmjco01522</t>
  </si>
  <si>
    <t>kmjco01503</t>
  </si>
  <si>
    <t>kmjco01512</t>
  </si>
  <si>
    <t>akco70502</t>
  </si>
  <si>
    <t>kmjco31565</t>
  </si>
  <si>
    <t>next17511</t>
  </si>
  <si>
    <t>next17508</t>
  </si>
  <si>
    <t>next17509</t>
  </si>
  <si>
    <t>next17512</t>
  </si>
  <si>
    <t>kmjco31567</t>
  </si>
  <si>
    <t>kmjco32568</t>
  </si>
  <si>
    <t>agraph01530</t>
  </si>
  <si>
    <t>next19577</t>
  </si>
  <si>
    <t>kmjco32581</t>
  </si>
  <si>
    <t>kmjco32583</t>
  </si>
  <si>
    <t>next17490</t>
  </si>
  <si>
    <t>next18536</t>
  </si>
  <si>
    <t>next19601</t>
  </si>
  <si>
    <t>akco1081</t>
  </si>
  <si>
    <t>next19588</t>
  </si>
  <si>
    <t>next18514</t>
  </si>
  <si>
    <t>next19587</t>
  </si>
  <si>
    <t>菱田 朱夏</t>
  </si>
  <si>
    <t>next19583</t>
  </si>
  <si>
    <t>田渕 希美</t>
  </si>
  <si>
    <t>next19600</t>
  </si>
  <si>
    <t>小島 芙優</t>
  </si>
  <si>
    <t>next19589</t>
  </si>
  <si>
    <t>奥山 喜美花</t>
  </si>
  <si>
    <t>kmjco32569</t>
  </si>
  <si>
    <t>渡邊 真理絵</t>
  </si>
  <si>
    <t>kmjco32580</t>
  </si>
  <si>
    <t>agraph01480</t>
  </si>
  <si>
    <t>ntkco11162</t>
  </si>
  <si>
    <t>武藤 加奈子</t>
  </si>
  <si>
    <t>next19584</t>
  </si>
  <si>
    <t>next19580</t>
  </si>
  <si>
    <t>青柳 麻衣</t>
  </si>
  <si>
    <t>next19582</t>
  </si>
  <si>
    <t>岡本 祥子</t>
  </si>
  <si>
    <t>akco70386</t>
  </si>
  <si>
    <t>髙田 栄司</t>
  </si>
  <si>
    <t>ntkco13291</t>
  </si>
  <si>
    <t>ntkco9121</t>
  </si>
  <si>
    <t>谷 和彦</t>
  </si>
  <si>
    <t>kmjco32582</t>
  </si>
  <si>
    <t>next18533</t>
  </si>
  <si>
    <t>kmjco32573</t>
  </si>
  <si>
    <t>kmjco32566</t>
  </si>
  <si>
    <t>next17505</t>
  </si>
  <si>
    <t>kmjco01541</t>
  </si>
  <si>
    <t>kmjco31562</t>
  </si>
  <si>
    <t>akco70324</t>
  </si>
  <si>
    <t>next17471</t>
  </si>
  <si>
    <t>akco80409</t>
  </si>
  <si>
    <t>agraph01491</t>
  </si>
  <si>
    <t>clev01496</t>
  </si>
  <si>
    <t>next16429</t>
  </si>
  <si>
    <t>clev01442</t>
  </si>
  <si>
    <t>kmjco01546</t>
  </si>
  <si>
    <t>akco5219</t>
  </si>
  <si>
    <t>akco1088</t>
  </si>
  <si>
    <t>next16459</t>
  </si>
  <si>
    <t>next15342</t>
  </si>
  <si>
    <t>ntkco7063</t>
  </si>
  <si>
    <t>ntkco14328</t>
  </si>
  <si>
    <t>next30239</t>
  </si>
  <si>
    <t>松田 誠史</t>
  </si>
  <si>
    <t>akco5211</t>
  </si>
  <si>
    <t>遠藤 友美</t>
  </si>
  <si>
    <t>ntkco6049</t>
  </si>
  <si>
    <t>冨田 奈緒美</t>
  </si>
  <si>
    <t>ntkco16410</t>
  </si>
  <si>
    <t>next17499</t>
  </si>
  <si>
    <t>鹿野 久美子</t>
  </si>
  <si>
    <t>ntkco13287</t>
  </si>
  <si>
    <t>吉田 里子</t>
  </si>
  <si>
    <t>ntkco9128</t>
  </si>
  <si>
    <t>浜崎 勝</t>
  </si>
  <si>
    <t>next15364</t>
  </si>
  <si>
    <t>無し</t>
    <rPh sb="0" eb="1">
      <t>ナ</t>
    </rPh>
    <phoneticPr fontId="1"/>
  </si>
  <si>
    <t>有り</t>
    <rPh sb="0" eb="1">
      <t>ア</t>
    </rPh>
    <phoneticPr fontId="1"/>
  </si>
  <si>
    <t>設計契約</t>
    <rPh sb="0" eb="4">
      <t>セッケイ</t>
    </rPh>
    <phoneticPr fontId="1"/>
  </si>
  <si>
    <t>ブルージア</t>
  </si>
  <si>
    <t>クレバリーホーム</t>
  </si>
  <si>
    <t>one-happy</t>
  </si>
  <si>
    <t>ブランド</t>
    <phoneticPr fontId="1"/>
  </si>
  <si>
    <t>契約解除</t>
    <phoneticPr fontId="1"/>
  </si>
  <si>
    <t>個別契約コード</t>
    <rPh sb="0" eb="4">
      <t>コベツケイヤク</t>
    </rPh>
    <phoneticPr fontId="1"/>
  </si>
  <si>
    <t>※どちらか必須</t>
    <phoneticPr fontId="1"/>
  </si>
  <si>
    <t>所属長</t>
    <rPh sb="0" eb="3">
      <t>ショゾクチョウ</t>
    </rPh>
    <phoneticPr fontId="1"/>
  </si>
  <si>
    <t>担当役員</t>
    <rPh sb="0" eb="4">
      <t>タントウヤクイン</t>
    </rPh>
    <phoneticPr fontId="1"/>
  </si>
  <si>
    <t>管理設計</t>
    <phoneticPr fontId="1"/>
  </si>
  <si>
    <t>ClassL</t>
    <phoneticPr fontId="1"/>
  </si>
  <si>
    <t>Class122</t>
    <phoneticPr fontId="1"/>
  </si>
  <si>
    <t>ClassY</t>
    <phoneticPr fontId="1"/>
  </si>
  <si>
    <t>管理設計</t>
    <rPh sb="0" eb="2">
      <t>カンリ</t>
    </rPh>
    <rPh sb="2" eb="4">
      <t>セッケイ</t>
    </rPh>
    <phoneticPr fontId="1"/>
  </si>
  <si>
    <t>ファイル数</t>
    <rPh sb="4" eb="5">
      <t>スウ</t>
    </rPh>
    <phoneticPr fontId="1"/>
  </si>
  <si>
    <t>#</t>
    <phoneticPr fontId="1"/>
  </si>
  <si>
    <t>■表示中のデータ■</t>
    <rPh sb="1" eb="4">
      <t>ヒョウジチュウ</t>
    </rPh>
    <phoneticPr fontId="1"/>
  </si>
  <si>
    <t>※同名ファイルは上書きされます※</t>
    <rPh sb="1" eb="3">
      <t>ドウメイ</t>
    </rPh>
    <rPh sb="8" eb="10">
      <t>ウワガ</t>
    </rPh>
    <phoneticPr fontId="1"/>
  </si>
  <si>
    <t>■ダウンロードファイル■</t>
    <phoneticPr fontId="1"/>
  </si>
  <si>
    <t>■保存フォルダ■</t>
    <rPh sb="1" eb="3">
      <t>ホゾン</t>
    </rPh>
    <phoneticPr fontId="1"/>
  </si>
  <si>
    <t>その他</t>
  </si>
  <si>
    <t>邸別仕様書</t>
  </si>
  <si>
    <t>配管経路図・水道見積り</t>
  </si>
  <si>
    <t>業者見積</t>
  </si>
  <si>
    <t>問合せシート・依頼資料</t>
  </si>
  <si>
    <t>簡易積算</t>
  </si>
  <si>
    <t>契約図アーキデータ</t>
  </si>
  <si>
    <t>【1】契約時資料</t>
  </si>
  <si>
    <t>設計契約</t>
  </si>
  <si>
    <t>本契約</t>
  </si>
  <si>
    <t>【2】契約書関連</t>
  </si>
  <si>
    <t>契約書関連</t>
  </si>
  <si>
    <t>ご確認書</t>
  </si>
  <si>
    <t>請負契約書(全ページ)</t>
  </si>
  <si>
    <t>省エネ関連</t>
  </si>
  <si>
    <t>省エネ適合説明書</t>
  </si>
  <si>
    <t>性能証明書</t>
  </si>
  <si>
    <t>【3】帳票・資金計画表</t>
  </si>
  <si>
    <t>帳票管理表</t>
  </si>
  <si>
    <t>承認図時資金計画表</t>
  </si>
  <si>
    <t>【4】契約後資料※営業専用</t>
  </si>
  <si>
    <t>契約後資料※営業専用</t>
  </si>
  <si>
    <t>打合せ記録等</t>
  </si>
  <si>
    <t>【5】図面確定資料※設計専用</t>
  </si>
  <si>
    <t>図面確定まで</t>
  </si>
  <si>
    <t>図確回覧資料</t>
  </si>
  <si>
    <t>図確シート</t>
  </si>
  <si>
    <t>図確サイン図面</t>
  </si>
  <si>
    <t>委任状</t>
  </si>
  <si>
    <t>案内図</t>
  </si>
  <si>
    <t>住宅地図</t>
  </si>
  <si>
    <t>天空率・隣地離れ承諾書</t>
  </si>
  <si>
    <t>公図</t>
  </si>
  <si>
    <t>図面確定以降</t>
  </si>
  <si>
    <t>【6】詳細図面(履歴)</t>
  </si>
  <si>
    <t>FIT修正依頼(引継ぎ前)</t>
  </si>
  <si>
    <t>ファイル</t>
  </si>
  <si>
    <t>FIT完了図面(引継ぎ前)</t>
  </si>
  <si>
    <t>FIT修正依頼(引継ぎ後)</t>
  </si>
  <si>
    <t>FIT完了図面(引継ぎ後)</t>
  </si>
  <si>
    <t>【7】引継ぎ会議資料</t>
  </si>
  <si>
    <t>引継ぎ資料</t>
  </si>
  <si>
    <t>確定図面</t>
  </si>
  <si>
    <t>図確時簡易積算</t>
  </si>
  <si>
    <t>引継ぎ会議依頼書</t>
  </si>
  <si>
    <t>スタイルチェックシート</t>
  </si>
  <si>
    <t>電気配線図</t>
  </si>
  <si>
    <t>電気配線追加表</t>
  </si>
  <si>
    <t>設備資料</t>
  </si>
  <si>
    <t>図面</t>
  </si>
  <si>
    <t>プレゼン</t>
  </si>
  <si>
    <t>問合せ</t>
  </si>
  <si>
    <t>設備以外資料</t>
  </si>
  <si>
    <t>依頼資料</t>
  </si>
  <si>
    <t>標準外資料</t>
  </si>
  <si>
    <t>【8】仕様打合せ資料</t>
  </si>
  <si>
    <t>IC東京</t>
  </si>
  <si>
    <t>仕様打合せ前</t>
  </si>
  <si>
    <t>カーテン・家具</t>
  </si>
  <si>
    <t>エアコン</t>
  </si>
  <si>
    <t>打合せ記録</t>
  </si>
  <si>
    <t>IC愛知</t>
  </si>
  <si>
    <t>外観・内装</t>
  </si>
  <si>
    <t>設備</t>
  </si>
  <si>
    <t>建具</t>
  </si>
  <si>
    <t>照明</t>
  </si>
  <si>
    <t>エアコン・カーテン</t>
  </si>
  <si>
    <t>【9】敷地・地盤関連資料</t>
  </si>
  <si>
    <t>1.敷地調査報告書</t>
  </si>
  <si>
    <t>2.役所調査資料⼀式</t>
  </si>
  <si>
    <t>参考資料</t>
  </si>
  <si>
    <t>3.公的資料原本(謄本・公図・地積測量図)</t>
  </si>
  <si>
    <t>申請地資料</t>
  </si>
  <si>
    <t>申請地以外近隣資料</t>
  </si>
  <si>
    <t>4.住宅地図</t>
  </si>
  <si>
    <t>5.現況写真</t>
  </si>
  <si>
    <t>6.現況測量図</t>
  </si>
  <si>
    <t>現況測量図</t>
  </si>
  <si>
    <t>7.給排⽔現地調査書</t>
  </si>
  <si>
    <t>給排⽔現地調査書</t>
  </si>
  <si>
    <t>8.地盤関係</t>
  </si>
  <si>
    <t>地盤調査報告書</t>
  </si>
  <si>
    <t>【10】申請関係</t>
  </si>
  <si>
    <t>1.事前申請</t>
  </si>
  <si>
    <t>2.確認申請・軽微変更・記載事項変更</t>
  </si>
  <si>
    <t>確認済証(計画変更含む)</t>
  </si>
  <si>
    <t>軽微変更</t>
  </si>
  <si>
    <t>記載事項変更</t>
  </si>
  <si>
    <t>3.換気</t>
  </si>
  <si>
    <t>換気計算・見積り</t>
  </si>
  <si>
    <t>4.長期/低炭素・性能評価・BELS</t>
  </si>
  <si>
    <t>長期/低炭素</t>
  </si>
  <si>
    <t>性能評価書</t>
  </si>
  <si>
    <t>5.検査合格証(中間・完了)</t>
  </si>
  <si>
    <t>検査合格証</t>
  </si>
  <si>
    <t>6.フラット</t>
  </si>
  <si>
    <t>7.工事監理報告書</t>
  </si>
  <si>
    <t>8.補助金関係(ゼロエミ・エコポイントなど)</t>
  </si>
  <si>
    <t>補助金申請</t>
  </si>
  <si>
    <t>【11】4者会議資料</t>
  </si>
  <si>
    <t>4者会議資料</t>
  </si>
  <si>
    <t>承認図(4者用)※共通</t>
  </si>
  <si>
    <t>承認図(4者用)※未使用</t>
  </si>
  <si>
    <t>照明プラン</t>
  </si>
  <si>
    <t>営業4者チェックシート</t>
  </si>
  <si>
    <t>設計4者チェックシート</t>
  </si>
  <si>
    <t>IC4者チェックシート</t>
  </si>
  <si>
    <t>工務チェックバック</t>
  </si>
  <si>
    <t>4者チェック用設備一式</t>
  </si>
  <si>
    <t>設備①</t>
  </si>
  <si>
    <t>設備②</t>
  </si>
  <si>
    <t>設備③</t>
  </si>
  <si>
    <t>設備④</t>
  </si>
  <si>
    <t>設備⑤</t>
  </si>
  <si>
    <t>4者チェック用プレカット図一式</t>
  </si>
  <si>
    <t>基礎伏図</t>
  </si>
  <si>
    <t>プレカット図</t>
  </si>
  <si>
    <t>配管経路図</t>
  </si>
  <si>
    <t>構造図</t>
  </si>
  <si>
    <t>IC</t>
  </si>
  <si>
    <t>ICチェック担当チェックデータ</t>
  </si>
  <si>
    <t>IC責任者チェックデータ</t>
  </si>
  <si>
    <t>【12】基礎・構造・プレカット・配管(履歴)</t>
  </si>
  <si>
    <t>配管経路図(ブリヂストン)</t>
  </si>
  <si>
    <t>【13】承認図</t>
  </si>
  <si>
    <t>承認図など</t>
  </si>
  <si>
    <t>承認図・詳細図</t>
  </si>
  <si>
    <t>建具資料</t>
  </si>
  <si>
    <t>電気設備資料</t>
  </si>
  <si>
    <t>設備(システムキッチン)</t>
  </si>
  <si>
    <t>設備(システムバス)</t>
  </si>
  <si>
    <t>設備(洗面)</t>
  </si>
  <si>
    <t>設備(トイレ)</t>
  </si>
  <si>
    <t>設備(上記以外)</t>
  </si>
  <si>
    <t>設備見積書</t>
  </si>
  <si>
    <t>外部仕様資料</t>
  </si>
  <si>
    <t>内部仕様資料</t>
  </si>
  <si>
    <t>太陽光</t>
  </si>
  <si>
    <t>外構工事</t>
  </si>
  <si>
    <t>ゴミ箱</t>
  </si>
  <si>
    <t>【14】案内図・駐車場</t>
  </si>
  <si>
    <t>案内図・駐車場</t>
  </si>
  <si>
    <t>現場案内図</t>
  </si>
  <si>
    <t>駐車場案内図</t>
  </si>
  <si>
    <t>区画図</t>
  </si>
  <si>
    <t>【15】現場立会い・工程表</t>
  </si>
  <si>
    <t>現場立会い・工程表</t>
  </si>
  <si>
    <t>地縄立会い確認書</t>
  </si>
  <si>
    <t>電気配線立会い確認書</t>
  </si>
  <si>
    <t>最新工程表(お客様サイン)</t>
  </si>
  <si>
    <t>解体立会い確認書</t>
  </si>
  <si>
    <t>一次造成立会い確認書</t>
  </si>
  <si>
    <t>外構立会い確認書</t>
  </si>
  <si>
    <t>【16】その他</t>
  </si>
  <si>
    <t>その他重要書類①</t>
  </si>
  <si>
    <t>その他重要書類②</t>
  </si>
  <si>
    <t>その他重要書類③</t>
  </si>
  <si>
    <t>その他重要書類④</t>
  </si>
  <si>
    <t>その他重要書類⑤</t>
  </si>
  <si>
    <t>【17】検査</t>
  </si>
  <si>
    <t>検査</t>
  </si>
  <si>
    <t>配置</t>
  </si>
  <si>
    <t>基礎</t>
  </si>
  <si>
    <t>構造</t>
  </si>
  <si>
    <t>防水</t>
  </si>
  <si>
    <t>木完</t>
  </si>
  <si>
    <t>完成</t>
  </si>
  <si>
    <t>納入製品鋼材証明書(ミルシート)</t>
  </si>
  <si>
    <t>レディーミクストコンクリート配合計画・納入書</t>
  </si>
  <si>
    <t>【18】引渡し</t>
  </si>
  <si>
    <t>引渡し</t>
  </si>
  <si>
    <t>住宅瑕疵保険証券</t>
  </si>
  <si>
    <t>地盤保証書</t>
  </si>
  <si>
    <t>保証契約書</t>
  </si>
  <si>
    <t>防水保証書</t>
  </si>
  <si>
    <t>シロアリ防除保証書</t>
  </si>
  <si>
    <t>アイシネンフォーム生涯保証書</t>
  </si>
  <si>
    <t>アフター個人情報同意書</t>
  </si>
  <si>
    <t>建物引渡受領書</t>
  </si>
  <si>
    <t>鍵受領書</t>
  </si>
  <si>
    <t>引渡し書類確認書</t>
  </si>
  <si>
    <t>引渡し説明会チェックシート</t>
  </si>
  <si>
    <t>【19】火災保険</t>
  </si>
  <si>
    <t>火災保険</t>
  </si>
  <si>
    <t>火災保険見積書</t>
  </si>
  <si>
    <t>火災保険申込書</t>
  </si>
  <si>
    <t>【20】お客様アンケート</t>
  </si>
  <si>
    <t>お客様アンケート</t>
  </si>
  <si>
    <t>引渡し時</t>
  </si>
  <si>
    <t>入居後</t>
  </si>
  <si>
    <t>【21】補助金</t>
  </si>
  <si>
    <t>補助金</t>
  </si>
  <si>
    <t>各種補助金書類</t>
  </si>
  <si>
    <t>その他</t>
    <phoneticPr fontId="1"/>
  </si>
  <si>
    <t>項番</t>
    <rPh sb="0" eb="2">
      <t>コウバン</t>
    </rPh>
    <phoneticPr fontId="1"/>
  </si>
  <si>
    <t>項目番号</t>
    <rPh sb="0" eb="2">
      <t>コウモク</t>
    </rPh>
    <rPh sb="2" eb="4">
      <t>バンゴウ</t>
    </rPh>
    <phoneticPr fontId="1"/>
  </si>
  <si>
    <t>DLフラグ</t>
    <phoneticPr fontId="1"/>
  </si>
  <si>
    <t>お客様データファイル
一括ダウンロード</t>
    <rPh sb="1" eb="3">
      <t>キャクサマ</t>
    </rPh>
    <rPh sb="11" eb="13">
      <t>イッカツ</t>
    </rPh>
    <phoneticPr fontId="1"/>
  </si>
  <si>
    <t>追加変更ID</t>
    <phoneticPr fontId="1"/>
  </si>
  <si>
    <t>リードタイム算定ID</t>
    <phoneticPr fontId="1"/>
  </si>
  <si>
    <t>粗利益計算書ID</t>
    <phoneticPr fontId="1"/>
  </si>
  <si>
    <t>AttachmentsG</t>
    <phoneticPr fontId="1"/>
  </si>
  <si>
    <t>担当営業</t>
    <rPh sb="0" eb="4">
      <t>タントウエイギョウ</t>
    </rPh>
    <phoneticPr fontId="1"/>
  </si>
  <si>
    <t>役員</t>
    <rPh sb="0" eb="2">
      <t>ヤクイン</t>
    </rPh>
    <phoneticPr fontId="1"/>
  </si>
  <si>
    <t>※</t>
    <phoneticPr fontId="1"/>
  </si>
  <si>
    <t>更新日直近</t>
    <rPh sb="0" eb="2">
      <t>コウシン</t>
    </rPh>
    <rPh sb="2" eb="3">
      <t>ビ</t>
    </rPh>
    <rPh sb="3" eb="5">
      <t>チョッキン</t>
    </rPh>
    <phoneticPr fontId="1"/>
  </si>
  <si>
    <t>組織名</t>
    <rPh sb="0" eb="3">
      <t>ソシキメイ</t>
    </rPh>
    <phoneticPr fontId="1"/>
  </si>
  <si>
    <t>※下記は任意</t>
    <rPh sb="1" eb="3">
      <t>カキ</t>
    </rPh>
    <rPh sb="4" eb="6">
      <t>ニンイ</t>
    </rPh>
    <phoneticPr fontId="1"/>
  </si>
  <si>
    <t>※未選択時:直近1ヶ月</t>
    <rPh sb="1" eb="5">
      <t>ミセンタクジ</t>
    </rPh>
    <rPh sb="6" eb="8">
      <t>チョッキン</t>
    </rPh>
    <rPh sb="10" eb="11">
      <t>ゲツ</t>
    </rPh>
    <phoneticPr fontId="1"/>
  </si>
  <si>
    <t>手入力可</t>
    <rPh sb="0" eb="3">
      <t>テニュウリョク</t>
    </rPh>
    <rPh sb="3" eb="4">
      <t>カ</t>
    </rPh>
    <phoneticPr fontId="1"/>
  </si>
  <si>
    <t>要「営業所」選択</t>
    <rPh sb="0" eb="1">
      <t>ヨウ</t>
    </rPh>
    <rPh sb="2" eb="5">
      <t>エイギョウショ</t>
    </rPh>
    <rPh sb="6" eb="8">
      <t>センタク</t>
    </rPh>
    <phoneticPr fontId="1"/>
  </si>
  <si>
    <t>右のリストから取得したい情報の行にカーソルを合わせるか、直接契約コードを上記に記入し、取得ボタンを押すと関連情報をすべて取得します</t>
    <rPh sb="0" eb="1">
      <t>ミギ</t>
    </rPh>
    <rPh sb="7" eb="9">
      <t>シュトク</t>
    </rPh>
    <rPh sb="12" eb="14">
      <t>ジョウホウ</t>
    </rPh>
    <rPh sb="15" eb="16">
      <t>ギョウ</t>
    </rPh>
    <rPh sb="22" eb="23">
      <t>ア</t>
    </rPh>
    <rPh sb="28" eb="30">
      <t>チョクセツ</t>
    </rPh>
    <rPh sb="30" eb="32">
      <t>ケイヤク</t>
    </rPh>
    <rPh sb="36" eb="38">
      <t>ジョウキ</t>
    </rPh>
    <rPh sb="39" eb="41">
      <t>キニュウ</t>
    </rPh>
    <rPh sb="43" eb="45">
      <t>シュトク</t>
    </rPh>
    <rPh sb="49" eb="50">
      <t>オ</t>
    </rPh>
    <rPh sb="52" eb="56">
      <t>カンレンジョウホウ</t>
    </rPh>
    <rPh sb="60" eb="62">
      <t>シュトク</t>
    </rPh>
    <phoneticPr fontId="1"/>
  </si>
  <si>
    <t>所長</t>
    <rPh sb="0" eb="2">
      <t>ショチョウ</t>
    </rPh>
    <phoneticPr fontId="38"/>
  </si>
  <si>
    <t>営業設計</t>
    <rPh sb="0" eb="2">
      <t>エイギョウ</t>
    </rPh>
    <rPh sb="2" eb="4">
      <t>セッケイ</t>
    </rPh>
    <phoneticPr fontId="38"/>
  </si>
  <si>
    <t>担当IC</t>
    <rPh sb="0" eb="2">
      <t>タントウ</t>
    </rPh>
    <phoneticPr fontId="38"/>
  </si>
  <si>
    <t>管理設計</t>
    <rPh sb="0" eb="2">
      <t>カンリ</t>
    </rPh>
    <rPh sb="2" eb="4">
      <t>セッケイ</t>
    </rPh>
    <phoneticPr fontId="38"/>
  </si>
  <si>
    <t>作成日</t>
    <rPh sb="0" eb="2">
      <t>サクセイ</t>
    </rPh>
    <rPh sb="2" eb="3">
      <t>ビ</t>
    </rPh>
    <phoneticPr fontId="38"/>
  </si>
  <si>
    <t>作成者</t>
    <rPh sb="0" eb="3">
      <t>サクセイシャ</t>
    </rPh>
    <phoneticPr fontId="38"/>
  </si>
  <si>
    <t>■基本情報</t>
    <rPh sb="1" eb="5">
      <t>キホンジョウホウ</t>
    </rPh>
    <phoneticPr fontId="38"/>
  </si>
  <si>
    <t>電話番号</t>
    <rPh sb="0" eb="4">
      <t>デンワバンゴウ</t>
    </rPh>
    <phoneticPr fontId="38"/>
  </si>
  <si>
    <t>■建物情報</t>
    <rPh sb="1" eb="3">
      <t>タテモノ</t>
    </rPh>
    <rPh sb="3" eb="5">
      <t>ジョウホウ</t>
    </rPh>
    <phoneticPr fontId="38"/>
  </si>
  <si>
    <t>■見積情報</t>
    <rPh sb="1" eb="3">
      <t>ミツモリ</t>
    </rPh>
    <rPh sb="3" eb="5">
      <t>ジョウホウ</t>
    </rPh>
    <phoneticPr fontId="38"/>
  </si>
  <si>
    <t>■支払情報</t>
    <rPh sb="1" eb="3">
      <t>シハライ</t>
    </rPh>
    <rPh sb="3" eb="5">
      <t>ジョウホウ</t>
    </rPh>
    <phoneticPr fontId="38"/>
  </si>
  <si>
    <t>※同一である事を確認。差異がある場合は下記に理由記載。</t>
    <rPh sb="1" eb="3">
      <t>ドウイツ</t>
    </rPh>
    <phoneticPr fontId="38"/>
  </si>
  <si>
    <t>マニュアル外差異理由</t>
    <rPh sb="5" eb="6">
      <t>ガイ</t>
    </rPh>
    <rPh sb="6" eb="8">
      <t>サイ</t>
    </rPh>
    <rPh sb="8" eb="10">
      <t>リユウ</t>
    </rPh>
    <phoneticPr fontId="38"/>
  </si>
  <si>
    <t>サービス/値引き等の内容・理由</t>
    <rPh sb="5" eb="7">
      <t>ネビ</t>
    </rPh>
    <rPh sb="8" eb="9">
      <t>トウ</t>
    </rPh>
    <rPh sb="10" eb="12">
      <t>ナイヨウ</t>
    </rPh>
    <rPh sb="13" eb="15">
      <t>リユウ</t>
    </rPh>
    <phoneticPr fontId="38"/>
  </si>
  <si>
    <t>その他</t>
    <rPh sb="2" eb="3">
      <t>タ</t>
    </rPh>
    <phoneticPr fontId="38"/>
  </si>
  <si>
    <t>■建物保証</t>
    <rPh sb="1" eb="3">
      <t>タテモノ</t>
    </rPh>
    <rPh sb="3" eb="5">
      <t>ホショウ</t>
    </rPh>
    <phoneticPr fontId="38"/>
  </si>
  <si>
    <t>保証など</t>
    <rPh sb="0" eb="2">
      <t>ホショウ</t>
    </rPh>
    <phoneticPr fontId="38"/>
  </si>
  <si>
    <t>保証年数</t>
    <rPh sb="0" eb="2">
      <t>ホショウ</t>
    </rPh>
    <rPh sb="2" eb="4">
      <t>ネンスウ</t>
    </rPh>
    <phoneticPr fontId="38"/>
  </si>
  <si>
    <t>瑕疵保険限度額</t>
    <rPh sb="0" eb="4">
      <t>カシホケン</t>
    </rPh>
    <rPh sb="4" eb="7">
      <t>ゲンドガク</t>
    </rPh>
    <phoneticPr fontId="38"/>
  </si>
  <si>
    <t>所有地</t>
    <rPh sb="0" eb="3">
      <t>ショユウチ</t>
    </rPh>
    <phoneticPr fontId="38"/>
  </si>
  <si>
    <t>所有者</t>
    <rPh sb="0" eb="3">
      <t>ショユウシャ</t>
    </rPh>
    <phoneticPr fontId="38"/>
  </si>
  <si>
    <t>仲介地</t>
    <rPh sb="0" eb="2">
      <t>チュウカイ</t>
    </rPh>
    <rPh sb="2" eb="3">
      <t>チ</t>
    </rPh>
    <phoneticPr fontId="38"/>
  </si>
  <si>
    <t>土地残金日</t>
    <rPh sb="0" eb="2">
      <t>トチ</t>
    </rPh>
    <rPh sb="2" eb="4">
      <t>ザンキン</t>
    </rPh>
    <rPh sb="4" eb="5">
      <t>ビ</t>
    </rPh>
    <phoneticPr fontId="38"/>
  </si>
  <si>
    <t>農地転用</t>
    <rPh sb="0" eb="2">
      <t>ノウチ</t>
    </rPh>
    <rPh sb="2" eb="4">
      <t>テンヨウ</t>
    </rPh>
    <phoneticPr fontId="38"/>
  </si>
  <si>
    <t>その他注意</t>
    <rPh sb="2" eb="3">
      <t>タ</t>
    </rPh>
    <rPh sb="3" eb="5">
      <t>チュウイ</t>
    </rPh>
    <phoneticPr fontId="38"/>
  </si>
  <si>
    <t>契約書工期</t>
    <rPh sb="0" eb="3">
      <t>ケイヤクショ</t>
    </rPh>
    <rPh sb="3" eb="5">
      <t>コウキ</t>
    </rPh>
    <phoneticPr fontId="38"/>
  </si>
  <si>
    <t>～</t>
    <phoneticPr fontId="38"/>
  </si>
  <si>
    <t>図面確定</t>
    <rPh sb="0" eb="2">
      <t>ズメン</t>
    </rPh>
    <rPh sb="2" eb="4">
      <t>カクテイ</t>
    </rPh>
    <phoneticPr fontId="38"/>
  </si>
  <si>
    <t>仕様打合せ</t>
    <rPh sb="0" eb="2">
      <t>シヨウ</t>
    </rPh>
    <rPh sb="2" eb="4">
      <t>ウチアワ</t>
    </rPh>
    <phoneticPr fontId="38"/>
  </si>
  <si>
    <t>承認図</t>
    <rPh sb="0" eb="3">
      <t>ショウニンズ</t>
    </rPh>
    <phoneticPr fontId="38"/>
  </si>
  <si>
    <t>地盤調査</t>
    <rPh sb="0" eb="4">
      <t>ジバンチョウサ</t>
    </rPh>
    <phoneticPr fontId="38"/>
  </si>
  <si>
    <t>資金承認</t>
    <rPh sb="0" eb="2">
      <t>シキン</t>
    </rPh>
    <rPh sb="2" eb="4">
      <t>ショウニン</t>
    </rPh>
    <phoneticPr fontId="38"/>
  </si>
  <si>
    <t>地鎮祭</t>
    <rPh sb="0" eb="3">
      <t>ジチンサイ</t>
    </rPh>
    <phoneticPr fontId="38"/>
  </si>
  <si>
    <t>提出予定</t>
    <rPh sb="0" eb="2">
      <t>テイシュツ</t>
    </rPh>
    <rPh sb="2" eb="4">
      <t>ヨテイ</t>
    </rPh>
    <phoneticPr fontId="38"/>
  </si>
  <si>
    <t>決済予定</t>
    <rPh sb="0" eb="2">
      <t>ケッサイ</t>
    </rPh>
    <rPh sb="2" eb="4">
      <t>ヨテイ</t>
    </rPh>
    <phoneticPr fontId="38"/>
  </si>
  <si>
    <t>その他申請</t>
    <rPh sb="2" eb="3">
      <t>タ</t>
    </rPh>
    <rPh sb="3" eb="5">
      <t>シンセイ</t>
    </rPh>
    <phoneticPr fontId="38"/>
  </si>
  <si>
    <t>深基礎</t>
    <rPh sb="0" eb="3">
      <t>フカギソ</t>
    </rPh>
    <phoneticPr fontId="38"/>
  </si>
  <si>
    <t>H=</t>
    <phoneticPr fontId="38"/>
  </si>
  <si>
    <t>L=</t>
    <phoneticPr fontId="38"/>
  </si>
  <si>
    <t>検査機関</t>
    <rPh sb="0" eb="4">
      <t>ケンサキカン</t>
    </rPh>
    <phoneticPr fontId="38"/>
  </si>
  <si>
    <t>住宅性能評価</t>
    <rPh sb="0" eb="6">
      <t>ジュウタクセイノウヒョウカ</t>
    </rPh>
    <phoneticPr fontId="38"/>
  </si>
  <si>
    <t>フラット35S/財形</t>
    <rPh sb="8" eb="10">
      <t>ザイケイ</t>
    </rPh>
    <phoneticPr fontId="38"/>
  </si>
  <si>
    <t>■施工関連</t>
    <rPh sb="1" eb="3">
      <t>セコウ</t>
    </rPh>
    <rPh sb="3" eb="5">
      <t>カンレン</t>
    </rPh>
    <phoneticPr fontId="38"/>
  </si>
  <si>
    <t>給水引込工事</t>
    <rPh sb="0" eb="2">
      <t>キュウスイ</t>
    </rPh>
    <rPh sb="2" eb="4">
      <t>ヒキコミ</t>
    </rPh>
    <rPh sb="4" eb="6">
      <t>コウジ</t>
    </rPh>
    <phoneticPr fontId="38"/>
  </si>
  <si>
    <t>予定</t>
    <rPh sb="0" eb="2">
      <t>ヨテイ</t>
    </rPh>
    <phoneticPr fontId="38"/>
  </si>
  <si>
    <t>排水引込工事</t>
    <rPh sb="0" eb="2">
      <t>ハイスイ</t>
    </rPh>
    <rPh sb="2" eb="4">
      <t>ヒキコミ</t>
    </rPh>
    <rPh sb="4" eb="6">
      <t>コウジ</t>
    </rPh>
    <phoneticPr fontId="38"/>
  </si>
  <si>
    <t>浄化槽工事</t>
    <rPh sb="0" eb="3">
      <t>ジョウカソウ</t>
    </rPh>
    <rPh sb="3" eb="5">
      <t>コウジ</t>
    </rPh>
    <phoneticPr fontId="38"/>
  </si>
  <si>
    <t>人槽</t>
    <phoneticPr fontId="38"/>
  </si>
  <si>
    <t>補助金</t>
    <rPh sb="0" eb="3">
      <t>ホジョキン</t>
    </rPh>
    <phoneticPr fontId="38"/>
  </si>
  <si>
    <t>手配者</t>
    <rPh sb="0" eb="2">
      <t>テハイ</t>
    </rPh>
    <rPh sb="2" eb="3">
      <t>シャ</t>
    </rPh>
    <phoneticPr fontId="38"/>
  </si>
  <si>
    <t>ガス工事</t>
    <rPh sb="2" eb="4">
      <t>コウジ</t>
    </rPh>
    <phoneticPr fontId="38"/>
  </si>
  <si>
    <t>プロパン工事</t>
    <rPh sb="4" eb="6">
      <t>コウジ</t>
    </rPh>
    <phoneticPr fontId="38"/>
  </si>
  <si>
    <t>建設解体工事</t>
    <rPh sb="0" eb="2">
      <t>ケンセツ</t>
    </rPh>
    <rPh sb="2" eb="4">
      <t>カイタイ</t>
    </rPh>
    <rPh sb="4" eb="6">
      <t>コウジ</t>
    </rPh>
    <phoneticPr fontId="38"/>
  </si>
  <si>
    <t>着手</t>
    <rPh sb="0" eb="2">
      <t>チャクシュ</t>
    </rPh>
    <phoneticPr fontId="38"/>
  </si>
  <si>
    <t>完了</t>
    <rPh sb="0" eb="2">
      <t>カンリョウ</t>
    </rPh>
    <phoneticPr fontId="38"/>
  </si>
  <si>
    <t>敷地造成工事</t>
    <rPh sb="0" eb="2">
      <t>シキチ</t>
    </rPh>
    <rPh sb="2" eb="4">
      <t>ゾウセイ</t>
    </rPh>
    <rPh sb="4" eb="6">
      <t>コウジ</t>
    </rPh>
    <phoneticPr fontId="38"/>
  </si>
  <si>
    <t>外構工事</t>
    <rPh sb="0" eb="4">
      <t>ガイコウコウジ</t>
    </rPh>
    <phoneticPr fontId="38"/>
  </si>
  <si>
    <t>外構予算</t>
    <rPh sb="0" eb="2">
      <t>ガイコウ</t>
    </rPh>
    <rPh sb="2" eb="4">
      <t>ヨサン</t>
    </rPh>
    <phoneticPr fontId="38"/>
  </si>
  <si>
    <t>円</t>
    <rPh sb="0" eb="1">
      <t>エン</t>
    </rPh>
    <phoneticPr fontId="38"/>
  </si>
  <si>
    <t>要望や好み</t>
    <rPh sb="0" eb="2">
      <t>ヨウボウ</t>
    </rPh>
    <rPh sb="3" eb="4">
      <t>コノ</t>
    </rPh>
    <phoneticPr fontId="38"/>
  </si>
  <si>
    <t>外構業者指定</t>
    <rPh sb="0" eb="2">
      <t>ガイコウ</t>
    </rPh>
    <rPh sb="2" eb="4">
      <t>ギョウシャ</t>
    </rPh>
    <rPh sb="4" eb="6">
      <t>シテイ</t>
    </rPh>
    <phoneticPr fontId="38"/>
  </si>
  <si>
    <t xml:space="preserve"> 造成工事依頼や契約前
 見積もり済みに限り指定可能</t>
    <phoneticPr fontId="38"/>
  </si>
  <si>
    <t>壁面後退や控え壁についての条件</t>
    <phoneticPr fontId="38"/>
  </si>
  <si>
    <t>セットバック</t>
    <phoneticPr fontId="38"/>
  </si>
  <si>
    <t>緑化計画</t>
    <rPh sb="0" eb="2">
      <t>リョクカ</t>
    </rPh>
    <rPh sb="2" eb="4">
      <t>ケイカク</t>
    </rPh>
    <phoneticPr fontId="38"/>
  </si>
  <si>
    <t>道路斜面緩和</t>
    <rPh sb="0" eb="2">
      <t>ドウロ</t>
    </rPh>
    <rPh sb="2" eb="4">
      <t>シャメン</t>
    </rPh>
    <rPh sb="4" eb="6">
      <t>カンワ</t>
    </rPh>
    <phoneticPr fontId="38"/>
  </si>
  <si>
    <t>小運搬の必要性</t>
    <rPh sb="0" eb="3">
      <t>ショウウンパン</t>
    </rPh>
    <rPh sb="4" eb="7">
      <t>ヒツヨウセイ</t>
    </rPh>
    <phoneticPr fontId="38"/>
  </si>
  <si>
    <t>■営業からの引継ぎ事項</t>
    <rPh sb="1" eb="3">
      <t>エイギョウ</t>
    </rPh>
    <rPh sb="6" eb="8">
      <t>ヒキツ</t>
    </rPh>
    <rPh sb="9" eb="11">
      <t>ジコウ</t>
    </rPh>
    <phoneticPr fontId="38"/>
  </si>
  <si>
    <t>連名2人目</t>
    <rPh sb="0" eb="2">
      <t>レンメイ</t>
    </rPh>
    <rPh sb="3" eb="5">
      <t>ニンメ</t>
    </rPh>
    <phoneticPr fontId="38"/>
  </si>
  <si>
    <t>連名3人目</t>
    <rPh sb="0" eb="2">
      <t>レンメイ</t>
    </rPh>
    <rPh sb="3" eb="5">
      <t>ニンメ</t>
    </rPh>
    <phoneticPr fontId="38"/>
  </si>
  <si>
    <t>■紹介関連</t>
    <rPh sb="1" eb="3">
      <t>ショウカイ</t>
    </rPh>
    <rPh sb="3" eb="5">
      <t>カンレン</t>
    </rPh>
    <phoneticPr fontId="38"/>
  </si>
  <si>
    <t>紹介区分</t>
    <rPh sb="0" eb="2">
      <t>ショウカイ</t>
    </rPh>
    <rPh sb="2" eb="4">
      <t>クブン</t>
    </rPh>
    <phoneticPr fontId="38"/>
  </si>
  <si>
    <t>紹介者名</t>
    <rPh sb="0" eb="2">
      <t>ショウカイ</t>
    </rPh>
    <rPh sb="2" eb="3">
      <t>シャ</t>
    </rPh>
    <rPh sb="3" eb="4">
      <t>メイ</t>
    </rPh>
    <phoneticPr fontId="38"/>
  </si>
  <si>
    <t>紹介料</t>
    <rPh sb="0" eb="3">
      <t>ショウカイリョウ</t>
    </rPh>
    <phoneticPr fontId="38"/>
  </si>
  <si>
    <t>契約コード</t>
  </si>
  <si>
    <t>顧客コード</t>
    <rPh sb="0" eb="2">
      <t>コキャク</t>
    </rPh>
    <phoneticPr fontId="1"/>
  </si>
  <si>
    <t>契約日</t>
    <rPh sb="0" eb="3">
      <t>ケイヤクビ</t>
    </rPh>
    <phoneticPr fontId="1"/>
  </si>
  <si>
    <t>契約カウント月</t>
    <rPh sb="0" eb="2">
      <t>ケイヤク</t>
    </rPh>
    <rPh sb="6" eb="7">
      <t>ヅキ</t>
    </rPh>
    <phoneticPr fontId="1"/>
  </si>
  <si>
    <t xml:space="preserve">集客事由	</t>
    <rPh sb="0" eb="2">
      <t>シュウキャク</t>
    </rPh>
    <rPh sb="2" eb="4">
      <t>ジユウ</t>
    </rPh>
    <phoneticPr fontId="1"/>
  </si>
  <si>
    <t>契約会社</t>
    <rPh sb="0" eb="2">
      <t>ケイヤク</t>
    </rPh>
    <rPh sb="2" eb="4">
      <t>カイシャ</t>
    </rPh>
    <phoneticPr fontId="1"/>
  </si>
  <si>
    <t>施工会社</t>
    <rPh sb="0" eb="4">
      <t>セコウカイシャ</t>
    </rPh>
    <phoneticPr fontId="1"/>
  </si>
  <si>
    <t>振込先</t>
    <rPh sb="0" eb="3">
      <t>フリコミサキ</t>
    </rPh>
    <phoneticPr fontId="1"/>
  </si>
  <si>
    <t xml:space="preserve">積算チェック者	</t>
    <phoneticPr fontId="1"/>
  </si>
  <si>
    <t xml:space="preserve">設計契約	</t>
    <phoneticPr fontId="1"/>
  </si>
  <si>
    <t xml:space="preserve">設計契約日	</t>
    <phoneticPr fontId="1"/>
  </si>
  <si>
    <t>■施主情報</t>
    <rPh sb="1" eb="3">
      <t>セシュ</t>
    </rPh>
    <rPh sb="3" eb="5">
      <t>ジョウホウ</t>
    </rPh>
    <phoneticPr fontId="38"/>
  </si>
  <si>
    <t>担当監督</t>
    <rPh sb="0" eb="2">
      <t>タントウ</t>
    </rPh>
    <rPh sb="2" eb="4">
      <t>カントク</t>
    </rPh>
    <phoneticPr fontId="38"/>
  </si>
  <si>
    <t>エリア担当</t>
    <rPh sb="3" eb="5">
      <t>タントウ</t>
    </rPh>
    <phoneticPr fontId="38"/>
  </si>
  <si>
    <t>担当役員</t>
    <rPh sb="0" eb="2">
      <t>タントウ</t>
    </rPh>
    <rPh sb="2" eb="4">
      <t>ヤクイン</t>
    </rPh>
    <phoneticPr fontId="38"/>
  </si>
  <si>
    <t>携帯番号</t>
    <rPh sb="0" eb="4">
      <t>ケイタイバンゴウ</t>
    </rPh>
    <phoneticPr fontId="1"/>
  </si>
  <si>
    <t>勤続年数</t>
    <rPh sb="0" eb="4">
      <t>キンゾクネンスウ</t>
    </rPh>
    <phoneticPr fontId="1"/>
  </si>
  <si>
    <t>生年月日</t>
    <rPh sb="0" eb="4">
      <t>セイネンガッピ</t>
    </rPh>
    <phoneticPr fontId="1"/>
  </si>
  <si>
    <t>年齢</t>
    <rPh sb="0" eb="2">
      <t>ネンレイ</t>
    </rPh>
    <phoneticPr fontId="1"/>
  </si>
  <si>
    <t>勤務先</t>
    <rPh sb="0" eb="3">
      <t>キンムサキ</t>
    </rPh>
    <phoneticPr fontId="1"/>
  </si>
  <si>
    <t>法人区分</t>
    <rPh sb="0" eb="2">
      <t>ホウジン</t>
    </rPh>
    <rPh sb="2" eb="4">
      <t>クブン</t>
    </rPh>
    <phoneticPr fontId="1"/>
  </si>
  <si>
    <t>施主名</t>
    <rPh sb="0" eb="2">
      <t>セシュ</t>
    </rPh>
    <rPh sb="2" eb="3">
      <t>メイ</t>
    </rPh>
    <phoneticPr fontId="38"/>
  </si>
  <si>
    <t>現住所</t>
    <rPh sb="0" eb="3">
      <t>ゲンジュウショ</t>
    </rPh>
    <phoneticPr fontId="1"/>
  </si>
  <si>
    <t>建上地</t>
    <rPh sb="0" eb="1">
      <t>ケン</t>
    </rPh>
    <rPh sb="1" eb="2">
      <t>ジョウ</t>
    </rPh>
    <rPh sb="2" eb="3">
      <t>チ</t>
    </rPh>
    <phoneticPr fontId="1"/>
  </si>
  <si>
    <t>建物タイプ</t>
    <rPh sb="0" eb="2">
      <t>タテモノ</t>
    </rPh>
    <phoneticPr fontId="1"/>
  </si>
  <si>
    <t>外部仕様</t>
    <rPh sb="0" eb="2">
      <t>ガイブ</t>
    </rPh>
    <rPh sb="2" eb="4">
      <t>シヨウ</t>
    </rPh>
    <phoneticPr fontId="1"/>
  </si>
  <si>
    <t>モジュール</t>
    <phoneticPr fontId="1"/>
  </si>
  <si>
    <t>防火</t>
    <rPh sb="0" eb="2">
      <t>ボウカ</t>
    </rPh>
    <phoneticPr fontId="1"/>
  </si>
  <si>
    <t>建物種類</t>
    <rPh sb="0" eb="2">
      <t>タテモノ</t>
    </rPh>
    <rPh sb="2" eb="4">
      <t>シュルイ</t>
    </rPh>
    <phoneticPr fontId="1"/>
  </si>
  <si>
    <t>工事件名</t>
    <rPh sb="0" eb="2">
      <t>コウジ</t>
    </rPh>
    <rPh sb="2" eb="4">
      <t>ケンメイ</t>
    </rPh>
    <phoneticPr fontId="1"/>
  </si>
  <si>
    <t>■建築面積</t>
    <rPh sb="1" eb="3">
      <t>ケンチク</t>
    </rPh>
    <rPh sb="3" eb="5">
      <t>メンセキ</t>
    </rPh>
    <phoneticPr fontId="38"/>
  </si>
  <si>
    <t>1F床面積</t>
    <rPh sb="2" eb="3">
      <t>ユカ</t>
    </rPh>
    <rPh sb="3" eb="5">
      <t>メンセキ</t>
    </rPh>
    <phoneticPr fontId="1"/>
  </si>
  <si>
    <t>2F床面積</t>
    <rPh sb="2" eb="3">
      <t>ユカ</t>
    </rPh>
    <rPh sb="3" eb="5">
      <t>メンセキ</t>
    </rPh>
    <phoneticPr fontId="1"/>
  </si>
  <si>
    <t>3F床面積</t>
    <rPh sb="2" eb="3">
      <t>ユカ</t>
    </rPh>
    <rPh sb="3" eb="5">
      <t>メンセキ</t>
    </rPh>
    <phoneticPr fontId="1"/>
  </si>
  <si>
    <t>地下床面積</t>
    <rPh sb="0" eb="2">
      <t>チカ</t>
    </rPh>
    <rPh sb="2" eb="3">
      <t>ユカ</t>
    </rPh>
    <rPh sb="3" eb="5">
      <t>メンセキ</t>
    </rPh>
    <phoneticPr fontId="1"/>
  </si>
  <si>
    <t>PH階床面積</t>
    <rPh sb="2" eb="3">
      <t>カイ</t>
    </rPh>
    <rPh sb="3" eb="4">
      <t>ユカ</t>
    </rPh>
    <rPh sb="4" eb="6">
      <t>メンセキ</t>
    </rPh>
    <phoneticPr fontId="1"/>
  </si>
  <si>
    <t>延床面積</t>
    <rPh sb="0" eb="4">
      <t>ノベユカメンセキ</t>
    </rPh>
    <phoneticPr fontId="1"/>
  </si>
  <si>
    <t>担当営業2</t>
    <rPh sb="0" eb="2">
      <t>タントウ</t>
    </rPh>
    <rPh sb="2" eb="4">
      <t>エイギョウ</t>
    </rPh>
    <phoneticPr fontId="1"/>
  </si>
  <si>
    <t>担当営業1</t>
    <rPh sb="0" eb="4">
      <t>タントウエイギョウ</t>
    </rPh>
    <phoneticPr fontId="38"/>
  </si>
  <si>
    <t>粗利益額</t>
    <rPh sb="0" eb="3">
      <t>アラリエキ</t>
    </rPh>
    <rPh sb="3" eb="4">
      <t>ガク</t>
    </rPh>
    <phoneticPr fontId="1"/>
  </si>
  <si>
    <t>利益率</t>
    <rPh sb="0" eb="3">
      <t>リエキリツ</t>
    </rPh>
    <phoneticPr fontId="1"/>
  </si>
  <si>
    <t>15%付帯無</t>
    <rPh sb="3" eb="5">
      <t>フタイ</t>
    </rPh>
    <rPh sb="5" eb="6">
      <t>ナ</t>
    </rPh>
    <phoneticPr fontId="1"/>
  </si>
  <si>
    <t>歩合対象額</t>
    <rPh sb="0" eb="2">
      <t>ブアイ</t>
    </rPh>
    <rPh sb="2" eb="4">
      <t>タイショウ</t>
    </rPh>
    <rPh sb="4" eb="5">
      <t>ガク</t>
    </rPh>
    <phoneticPr fontId="1"/>
  </si>
  <si>
    <t>請負金額(税別)</t>
    <rPh sb="0" eb="4">
      <t>ウケオイキンガク</t>
    </rPh>
    <rPh sb="5" eb="7">
      <t>ゼイベツ</t>
    </rPh>
    <phoneticPr fontId="1"/>
  </si>
  <si>
    <t>契約額(税込)</t>
    <rPh sb="0" eb="3">
      <t>ケイヤクガク</t>
    </rPh>
    <rPh sb="4" eb="6">
      <t>ゼイコ</t>
    </rPh>
    <phoneticPr fontId="1"/>
  </si>
  <si>
    <t>税別</t>
    <rPh sb="0" eb="2">
      <t>ゼイベツ</t>
    </rPh>
    <phoneticPr fontId="1"/>
  </si>
  <si>
    <t>消費税</t>
    <rPh sb="0" eb="3">
      <t>ショウヒゼイ</t>
    </rPh>
    <phoneticPr fontId="1"/>
  </si>
  <si>
    <t>契約金</t>
    <phoneticPr fontId="1"/>
  </si>
  <si>
    <t>着工時金</t>
    <rPh sb="0" eb="2">
      <t>チャッコウ</t>
    </rPh>
    <rPh sb="2" eb="3">
      <t>ジ</t>
    </rPh>
    <rPh sb="3" eb="4">
      <t>キン</t>
    </rPh>
    <phoneticPr fontId="1"/>
  </si>
  <si>
    <t>中間金</t>
    <phoneticPr fontId="1"/>
  </si>
  <si>
    <t>最終金</t>
    <phoneticPr fontId="1"/>
  </si>
  <si>
    <t>契約額との差額</t>
    <phoneticPr fontId="1"/>
  </si>
  <si>
    <t>支払い合計</t>
    <rPh sb="0" eb="2">
      <t>シハラ</t>
    </rPh>
    <rPh sb="3" eb="5">
      <t>ゴウケイ</t>
    </rPh>
    <phoneticPr fontId="1"/>
  </si>
  <si>
    <t>■顧客・土地情報</t>
  </si>
  <si>
    <t>信用状況</t>
    <phoneticPr fontId="1"/>
  </si>
  <si>
    <t>家族構成</t>
    <phoneticPr fontId="1"/>
  </si>
  <si>
    <t>施主との約束</t>
    <rPh sb="0" eb="2">
      <t>セシュ</t>
    </rPh>
    <rPh sb="4" eb="6">
      <t>ヤクソク</t>
    </rPh>
    <phoneticPr fontId="1"/>
  </si>
  <si>
    <t>土地情報</t>
    <rPh sb="0" eb="4">
      <t>トチジョウホウ</t>
    </rPh>
    <phoneticPr fontId="38"/>
  </si>
  <si>
    <t>続柄</t>
    <rPh sb="0" eb="2">
      <t>ツヅキガラ</t>
    </rPh>
    <phoneticPr fontId="38"/>
  </si>
  <si>
    <t>境界杭</t>
    <rPh sb="0" eb="2">
      <t>キョウカイ</t>
    </rPh>
    <rPh sb="2" eb="3">
      <t>クイ</t>
    </rPh>
    <phoneticPr fontId="38"/>
  </si>
  <si>
    <t>仲介業者</t>
    <rPh sb="0" eb="2">
      <t>チュウカイ</t>
    </rPh>
    <rPh sb="2" eb="4">
      <t>ギョウシャ</t>
    </rPh>
    <phoneticPr fontId="38"/>
  </si>
  <si>
    <t>完成予定日</t>
    <rPh sb="0" eb="4">
      <t>カンセイヨテイ</t>
    </rPh>
    <rPh sb="4" eb="5">
      <t>ビ</t>
    </rPh>
    <phoneticPr fontId="1"/>
  </si>
  <si>
    <t>着工予定参考日</t>
    <rPh sb="0" eb="2">
      <t>チャッコウ</t>
    </rPh>
    <rPh sb="2" eb="4">
      <t>ヨテイ</t>
    </rPh>
    <rPh sb="4" eb="6">
      <t>サンコウ</t>
    </rPh>
    <rPh sb="6" eb="7">
      <t>ビ</t>
    </rPh>
    <phoneticPr fontId="1"/>
  </si>
  <si>
    <t>※リードタイム算定書より</t>
    <phoneticPr fontId="1"/>
  </si>
  <si>
    <t>地目</t>
    <rPh sb="0" eb="1">
      <t>チ</t>
    </rPh>
    <rPh sb="1" eb="2">
      <t>モク</t>
    </rPh>
    <phoneticPr fontId="38"/>
  </si>
  <si>
    <t>■申請関連</t>
    <rPh sb="1" eb="3">
      <t>シンセイ</t>
    </rPh>
    <rPh sb="3" eb="5">
      <t>カンレン</t>
    </rPh>
    <phoneticPr fontId="1"/>
  </si>
  <si>
    <t>■施工時期</t>
    <phoneticPr fontId="1"/>
  </si>
  <si>
    <t>～</t>
    <phoneticPr fontId="1"/>
  </si>
  <si>
    <t>備考(事前申請種類など)</t>
    <rPh sb="0" eb="2">
      <t>ビコウ</t>
    </rPh>
    <rPh sb="3" eb="5">
      <t>ジゼン</t>
    </rPh>
    <rPh sb="5" eb="7">
      <t>シンセイ</t>
    </rPh>
    <rPh sb="7" eb="9">
      <t>シュルイ</t>
    </rPh>
    <phoneticPr fontId="38"/>
  </si>
  <si>
    <t>事前申請</t>
    <rPh sb="0" eb="2">
      <t>ジゼン</t>
    </rPh>
    <rPh sb="2" eb="4">
      <t>シンセイ</t>
    </rPh>
    <phoneticPr fontId="38"/>
  </si>
  <si>
    <t>確認申請</t>
    <rPh sb="0" eb="4">
      <t>カクニンシンセイ</t>
    </rPh>
    <phoneticPr fontId="38"/>
  </si>
  <si>
    <t>名前</t>
    <rPh sb="0" eb="2">
      <t>ナマエ</t>
    </rPh>
    <phoneticPr fontId="1"/>
  </si>
  <si>
    <t>郵便番号</t>
    <rPh sb="0" eb="4">
      <t>ユウビンバンゴウ</t>
    </rPh>
    <phoneticPr fontId="1"/>
  </si>
  <si>
    <t>住所</t>
    <rPh sb="0" eb="2">
      <t>ジュウショ</t>
    </rPh>
    <phoneticPr fontId="1"/>
  </si>
  <si>
    <t>■外構・造成・解体</t>
    <rPh sb="1" eb="3">
      <t>ガイコウ</t>
    </rPh>
    <rPh sb="4" eb="6">
      <t>ゾウセイ</t>
    </rPh>
    <rPh sb="7" eb="9">
      <t>カイタイ</t>
    </rPh>
    <phoneticPr fontId="38"/>
  </si>
  <si>
    <t>■連名契約者</t>
    <rPh sb="1" eb="3">
      <t>レンメイ</t>
    </rPh>
    <rPh sb="3" eb="6">
      <t>ケイヤクシャ</t>
    </rPh>
    <phoneticPr fontId="38"/>
  </si>
  <si>
    <t>姓1</t>
  </si>
  <si>
    <t>名1</t>
  </si>
  <si>
    <t>姓カナ1</t>
  </si>
  <si>
    <t>名カナ1</t>
  </si>
  <si>
    <t>性別1</t>
  </si>
  <si>
    <t>郵便番号1</t>
  </si>
  <si>
    <t>現住所カナ1</t>
  </si>
  <si>
    <t>姓2</t>
  </si>
  <si>
    <t>名2</t>
  </si>
  <si>
    <t>姓カナ2</t>
  </si>
  <si>
    <t>名カナ2</t>
  </si>
  <si>
    <t>性別2</t>
  </si>
  <si>
    <t>郵便番号2</t>
  </si>
  <si>
    <t>現住所2</t>
  </si>
  <si>
    <t>現住所カナ2</t>
  </si>
  <si>
    <t>姓3</t>
  </si>
  <si>
    <t>名3</t>
  </si>
  <si>
    <t>姓カナ3</t>
  </si>
  <si>
    <t>名カナ3</t>
  </si>
  <si>
    <t>性別3</t>
  </si>
  <si>
    <t>郵便番号3</t>
  </si>
  <si>
    <t>現住所3</t>
  </si>
  <si>
    <t>現住所カナ3</t>
  </si>
  <si>
    <t>年齢1</t>
    <phoneticPr fontId="1"/>
  </si>
  <si>
    <t>年齢2</t>
    <phoneticPr fontId="1"/>
  </si>
  <si>
    <t>年齢3</t>
    <phoneticPr fontId="1"/>
  </si>
  <si>
    <t>生年月日1</t>
    <rPh sb="0" eb="4">
      <t>セイネンガッピ</t>
    </rPh>
    <phoneticPr fontId="2"/>
  </si>
  <si>
    <t>生年月日2</t>
    <rPh sb="0" eb="4">
      <t>セイネンガッピ</t>
    </rPh>
    <phoneticPr fontId="2"/>
  </si>
  <si>
    <t>生年月日3</t>
    <rPh sb="0" eb="4">
      <t>セイネンガッピ</t>
    </rPh>
    <phoneticPr fontId="2"/>
  </si>
  <si>
    <t>【本契】15%付帯工事無</t>
    <phoneticPr fontId="1"/>
  </si>
  <si>
    <t>【本契】付帯無 粗利益額</t>
    <rPh sb="4" eb="6">
      <t>フタイ</t>
    </rPh>
    <rPh sb="6" eb="7">
      <t>ム</t>
    </rPh>
    <rPh sb="8" eb="11">
      <t>アラリエキ</t>
    </rPh>
    <rPh sb="11" eb="12">
      <t>ガク</t>
    </rPh>
    <phoneticPr fontId="2"/>
  </si>
  <si>
    <t>【本契】付帯無 粗利率</t>
    <rPh sb="4" eb="6">
      <t>フタイ</t>
    </rPh>
    <rPh sb="6" eb="7">
      <t>ム</t>
    </rPh>
    <rPh sb="8" eb="11">
      <t>アラリリツ</t>
    </rPh>
    <phoneticPr fontId="2"/>
  </si>
  <si>
    <t>【設契】15%付帯工事無</t>
    <phoneticPr fontId="1"/>
  </si>
  <si>
    <t>【設契】付帯無 粗利益額</t>
    <rPh sb="4" eb="6">
      <t>フタイ</t>
    </rPh>
    <rPh sb="6" eb="7">
      <t>ム</t>
    </rPh>
    <rPh sb="8" eb="11">
      <t>アラリエキ</t>
    </rPh>
    <rPh sb="11" eb="12">
      <t>ガク</t>
    </rPh>
    <phoneticPr fontId="2"/>
  </si>
  <si>
    <t>【設契】付帯無 粗利率</t>
    <rPh sb="4" eb="6">
      <t>フタイ</t>
    </rPh>
    <rPh sb="6" eb="7">
      <t>ム</t>
    </rPh>
    <rPh sb="8" eb="11">
      <t>アラリリツ</t>
    </rPh>
    <phoneticPr fontId="2"/>
  </si>
  <si>
    <t>世帯種別</t>
    <phoneticPr fontId="1"/>
  </si>
  <si>
    <t>内部仕様</t>
    <rPh sb="0" eb="2">
      <t>ナイブ</t>
    </rPh>
    <rPh sb="2" eb="4">
      <t>シヨウ</t>
    </rPh>
    <phoneticPr fontId="1"/>
  </si>
  <si>
    <t>施主_勤務先</t>
    <phoneticPr fontId="1"/>
  </si>
  <si>
    <t>現住所1</t>
    <phoneticPr fontId="1"/>
  </si>
  <si>
    <t>契約会社json</t>
  </si>
  <si>
    <t>施工会社json</t>
    <phoneticPr fontId="1"/>
  </si>
  <si>
    <t>契約営業所json</t>
    <phoneticPr fontId="1"/>
  </si>
  <si>
    <t>UpdatedTime</t>
    <phoneticPr fontId="1"/>
  </si>
  <si>
    <t>Comments</t>
    <phoneticPr fontId="1"/>
  </si>
  <si>
    <t>CreatedTime</t>
    <phoneticPr fontId="1"/>
  </si>
  <si>
    <t>ItemTitle</t>
    <phoneticPr fontId="1"/>
  </si>
  <si>
    <t>積算チェック者</t>
    <phoneticPr fontId="1"/>
  </si>
  <si>
    <t>集客事由</t>
  </si>
  <si>
    <t>大分類</t>
  </si>
  <si>
    <t>自社　資料請求</t>
  </si>
  <si>
    <t>IS</t>
  </si>
  <si>
    <t>自社　来場予約</t>
  </si>
  <si>
    <t>本部　資料請求</t>
  </si>
  <si>
    <t>本部　来場予約</t>
  </si>
  <si>
    <t>IS誘致</t>
  </si>
  <si>
    <t>その他紹介</t>
  </si>
  <si>
    <t>紹介</t>
  </si>
  <si>
    <t>業者紹介</t>
  </si>
  <si>
    <t>ユーザー紹介</t>
  </si>
  <si>
    <t>おうちの相談窓口</t>
  </si>
  <si>
    <t>スーモ</t>
  </si>
  <si>
    <t>モデルハウス新規来場</t>
  </si>
  <si>
    <t>来場</t>
  </si>
  <si>
    <t>作成者</t>
    <rPh sb="0" eb="2">
      <t>サクセイ</t>
    </rPh>
    <rPh sb="2" eb="3">
      <t>シャ</t>
    </rPh>
    <phoneticPr fontId="2"/>
  </si>
  <si>
    <t>更新者</t>
    <rPh sb="0" eb="2">
      <t>コウシン</t>
    </rPh>
    <rPh sb="2" eb="3">
      <t>シャ</t>
    </rPh>
    <phoneticPr fontId="2"/>
  </si>
  <si>
    <t>支払情報JSON</t>
    <phoneticPr fontId="1"/>
  </si>
  <si>
    <t>SiteId</t>
    <phoneticPr fontId="1"/>
  </si>
  <si>
    <t>ResultId</t>
    <phoneticPr fontId="1"/>
  </si>
  <si>
    <t>Ver</t>
    <phoneticPr fontId="1"/>
  </si>
  <si>
    <t>Body</t>
    <phoneticPr fontId="1"/>
  </si>
  <si>
    <t>Status</t>
    <phoneticPr fontId="1"/>
  </si>
  <si>
    <t>Manager</t>
    <phoneticPr fontId="1"/>
  </si>
  <si>
    <t>Owner</t>
    <phoneticPr fontId="1"/>
  </si>
  <si>
    <t>Locked</t>
    <phoneticPr fontId="1"/>
  </si>
  <si>
    <t>Creator</t>
    <phoneticPr fontId="1"/>
  </si>
  <si>
    <t>Updator</t>
    <phoneticPr fontId="1"/>
  </si>
  <si>
    <t>ApiVersion</t>
    <phoneticPr fontId="1"/>
  </si>
  <si>
    <t>住宅性能評価</t>
  </si>
  <si>
    <t>設計住宅性能評価</t>
  </si>
  <si>
    <t>長期優良住宅</t>
  </si>
  <si>
    <t>低炭素住宅</t>
  </si>
  <si>
    <t>建設住宅性能評価</t>
  </si>
  <si>
    <t>住宅性能評価</t>
    <rPh sb="0" eb="2">
      <t>ジュウタク</t>
    </rPh>
    <rPh sb="2" eb="6">
      <t>セイノウヒョウカ</t>
    </rPh>
    <phoneticPr fontId="1"/>
  </si>
  <si>
    <t>3</t>
    <phoneticPr fontId="1"/>
  </si>
  <si>
    <t>4</t>
    <phoneticPr fontId="1"/>
  </si>
  <si>
    <t>2</t>
    <phoneticPr fontId="1"/>
  </si>
  <si>
    <t>1</t>
    <phoneticPr fontId="1"/>
  </si>
  <si>
    <t>0</t>
    <phoneticPr fontId="1"/>
  </si>
  <si>
    <t>ユーザー</t>
  </si>
  <si>
    <t>スーモカウンター</t>
  </si>
  <si>
    <t>社内紹介</t>
  </si>
  <si>
    <t>賢匠会</t>
  </si>
  <si>
    <t>不動産</t>
  </si>
  <si>
    <t>業者</t>
  </si>
  <si>
    <t>紹介無し</t>
  </si>
  <si>
    <t>紹介種類</t>
    <rPh sb="0" eb="2">
      <t>ショウカイ</t>
    </rPh>
    <rPh sb="2" eb="4">
      <t>シュルイ</t>
    </rPh>
    <phoneticPr fontId="1"/>
  </si>
  <si>
    <t>紹介種類一覧</t>
    <rPh sb="0" eb="2">
      <t>ショウカイ</t>
    </rPh>
    <rPh sb="2" eb="4">
      <t>シュルイ</t>
    </rPh>
    <rPh sb="4" eb="6">
      <t>イチラン</t>
    </rPh>
    <phoneticPr fontId="1"/>
  </si>
  <si>
    <t>5</t>
    <phoneticPr fontId="1"/>
  </si>
  <si>
    <t>99</t>
    <phoneticPr fontId="1"/>
  </si>
  <si>
    <t>1000</t>
    <phoneticPr fontId="1"/>
  </si>
  <si>
    <t>なし</t>
  </si>
  <si>
    <t>ハウスジーメン、地盤保証</t>
  </si>
  <si>
    <t>ハウスジーメン、地盤保証、ベストバリューホーム</t>
  </si>
  <si>
    <t>ハウスジーメン、地盤保証、ベストバリューホーム、省令準耐火</t>
  </si>
  <si>
    <t>建物保証</t>
    <rPh sb="0" eb="2">
      <t>タテモノ</t>
    </rPh>
    <rPh sb="2" eb="4">
      <t>ホショウ</t>
    </rPh>
    <phoneticPr fontId="1"/>
  </si>
  <si>
    <t>建物保証一覧</t>
    <rPh sb="0" eb="2">
      <t>タテモノ</t>
    </rPh>
    <rPh sb="2" eb="4">
      <t>ホショウ</t>
    </rPh>
    <rPh sb="4" eb="6">
      <t>イチラン</t>
    </rPh>
    <phoneticPr fontId="1"/>
  </si>
  <si>
    <t>10年</t>
  </si>
  <si>
    <t>20年</t>
  </si>
  <si>
    <t>30年</t>
  </si>
  <si>
    <t>60年</t>
  </si>
  <si>
    <t>保証年数</t>
    <rPh sb="0" eb="2">
      <t>ホショウ</t>
    </rPh>
    <rPh sb="2" eb="4">
      <t>ネンスウ</t>
    </rPh>
    <phoneticPr fontId="1"/>
  </si>
  <si>
    <t>保証年数一覧</t>
    <rPh sb="0" eb="2">
      <t>ホショウ</t>
    </rPh>
    <rPh sb="2" eb="4">
      <t>ネンスウ</t>
    </rPh>
    <rPh sb="4" eb="6">
      <t>イチラン</t>
    </rPh>
    <phoneticPr fontId="1"/>
  </si>
  <si>
    <t>2000万円</t>
  </si>
  <si>
    <t>3000万円</t>
  </si>
  <si>
    <t>4000万円</t>
  </si>
  <si>
    <t>5000万円</t>
  </si>
  <si>
    <t>0万円</t>
  </si>
  <si>
    <t>限度額</t>
    <rPh sb="0" eb="3">
      <t>ゲンドガク</t>
    </rPh>
    <phoneticPr fontId="1"/>
  </si>
  <si>
    <t>瑕疵保険限度額一覧</t>
    <rPh sb="0" eb="4">
      <t>カシホケン</t>
    </rPh>
    <rPh sb="4" eb="7">
      <t>ゲンドガク</t>
    </rPh>
    <rPh sb="7" eb="9">
      <t>イチラン</t>
    </rPh>
    <phoneticPr fontId="1"/>
  </si>
  <si>
    <r>
      <t>粗利益確認書</t>
    </r>
    <r>
      <rPr>
        <b/>
        <sz val="36"/>
        <color theme="0"/>
        <rFont val="BIZ UDゴシック"/>
        <family val="3"/>
        <charset val="128"/>
      </rPr>
      <t>（本契約）</t>
    </r>
    <rPh sb="7" eb="8">
      <t>ホン</t>
    </rPh>
    <rPh sb="8" eb="10">
      <t>ケイヤク</t>
    </rPh>
    <phoneticPr fontId="38"/>
  </si>
  <si>
    <t>顧客コード</t>
  </si>
  <si>
    <t>階建て</t>
  </si>
  <si>
    <t>営業所</t>
    <rPh sb="0" eb="3">
      <t>エイギョウショ</t>
    </rPh>
    <phoneticPr fontId="38"/>
  </si>
  <si>
    <t>※閲覧用</t>
    <rPh sb="1" eb="3">
      <t>エツラン</t>
    </rPh>
    <rPh sb="3" eb="4">
      <t>ヨウ</t>
    </rPh>
    <phoneticPr fontId="38"/>
  </si>
  <si>
    <t>本シートは【新版】注文住宅MSS★粗利益確認書から出力された閲覧専用です。
ワークフローの添付資料等には使用しないでください。
内容を更新する場合は、【新版】注文住宅MSS★粗利益確認書のデータを更新してください。</t>
    <rPh sb="0" eb="1">
      <t>ホン</t>
    </rPh>
    <rPh sb="25" eb="27">
      <t>シュツリョク</t>
    </rPh>
    <rPh sb="30" eb="32">
      <t>エツラン</t>
    </rPh>
    <rPh sb="32" eb="34">
      <t>センヨウ</t>
    </rPh>
    <rPh sb="45" eb="47">
      <t>テンプ</t>
    </rPh>
    <rPh sb="47" eb="49">
      <t>シリョウ</t>
    </rPh>
    <rPh sb="49" eb="50">
      <t>トウ</t>
    </rPh>
    <rPh sb="52" eb="54">
      <t>シヨウ</t>
    </rPh>
    <rPh sb="64" eb="66">
      <t>ナイヨウ</t>
    </rPh>
    <rPh sb="67" eb="69">
      <t>コウシン</t>
    </rPh>
    <rPh sb="71" eb="73">
      <t>バアイ</t>
    </rPh>
    <rPh sb="98" eb="100">
      <t>コウシン</t>
    </rPh>
    <phoneticPr fontId="38"/>
  </si>
  <si>
    <t>契約コード</t>
    <rPh sb="0" eb="2">
      <t>ケイヤク</t>
    </rPh>
    <phoneticPr fontId="54"/>
  </si>
  <si>
    <t>延床㎡</t>
  </si>
  <si>
    <t>営業担当</t>
    <rPh sb="0" eb="4">
      <t>エイギョウタントウ</t>
    </rPh>
    <phoneticPr fontId="38"/>
  </si>
  <si>
    <t>ブランド</t>
  </si>
  <si>
    <t>延床坪</t>
  </si>
  <si>
    <t>契約会社</t>
    <rPh sb="0" eb="2">
      <t>ケイヤク</t>
    </rPh>
    <rPh sb="2" eb="4">
      <t>カイシャ</t>
    </rPh>
    <phoneticPr fontId="38"/>
  </si>
  <si>
    <t>シリーズ</t>
    <phoneticPr fontId="38"/>
  </si>
  <si>
    <t>構造</t>
    <rPh sb="0" eb="2">
      <t>コウゾウ</t>
    </rPh>
    <phoneticPr fontId="38"/>
  </si>
  <si>
    <t>設計契約</t>
    <rPh sb="0" eb="4">
      <t>セッケイケイヤク</t>
    </rPh>
    <phoneticPr fontId="38"/>
  </si>
  <si>
    <t>項　　目</t>
    <rPh sb="0" eb="1">
      <t>コウ</t>
    </rPh>
    <rPh sb="3" eb="4">
      <t>メ</t>
    </rPh>
    <phoneticPr fontId="38"/>
  </si>
  <si>
    <t>客出(税別)</t>
    <rPh sb="0" eb="2">
      <t>キャクダ</t>
    </rPh>
    <rPh sb="3" eb="5">
      <t>ゼイベツ</t>
    </rPh>
    <phoneticPr fontId="38"/>
  </si>
  <si>
    <t>積算</t>
    <rPh sb="0" eb="2">
      <t>セキサン</t>
    </rPh>
    <phoneticPr fontId="54"/>
  </si>
  <si>
    <t>原価</t>
    <phoneticPr fontId="38"/>
  </si>
  <si>
    <t>積算原価</t>
    <rPh sb="0" eb="2">
      <t>セキサン</t>
    </rPh>
    <rPh sb="2" eb="4">
      <t>ゲンカ</t>
    </rPh>
    <phoneticPr fontId="54"/>
  </si>
  <si>
    <t>粗利益</t>
  </si>
  <si>
    <t>積算利益</t>
    <rPh sb="0" eb="2">
      <t>セキサン</t>
    </rPh>
    <rPh sb="2" eb="4">
      <t>リエキ</t>
    </rPh>
    <phoneticPr fontId="54"/>
  </si>
  <si>
    <t>利益率(%)</t>
    <rPh sb="0" eb="3">
      <t>リエキリツ</t>
    </rPh>
    <phoneticPr fontId="38"/>
  </si>
  <si>
    <t>本体金額</t>
    <phoneticPr fontId="38"/>
  </si>
  <si>
    <t>付帯工事</t>
    <rPh sb="0" eb="4">
      <t>フタイコウジ</t>
    </rPh>
    <phoneticPr fontId="38"/>
  </si>
  <si>
    <t>小　計</t>
    <rPh sb="0" eb="1">
      <t>ショウ</t>
    </rPh>
    <phoneticPr fontId="38"/>
  </si>
  <si>
    <t>本体工事内上乗せ(粗利益)</t>
    <rPh sb="9" eb="12">
      <t>アラリエキ</t>
    </rPh>
    <phoneticPr fontId="38"/>
  </si>
  <si>
    <t>中　計</t>
    <rPh sb="0" eb="1">
      <t>チュウ</t>
    </rPh>
    <rPh sb="2" eb="3">
      <t>ケイ</t>
    </rPh>
    <phoneticPr fontId="38"/>
  </si>
  <si>
    <t>※簡易積算
基準を入力</t>
    <phoneticPr fontId="38"/>
  </si>
  <si>
    <r>
      <t>J22 粗利益:1円未満は</t>
    </r>
    <r>
      <rPr>
        <b/>
        <u/>
        <sz val="22"/>
        <color rgb="FFFFFF00"/>
        <rFont val="BIZ UDゴシック"/>
        <family val="3"/>
        <charset val="128"/>
      </rPr>
      <t>切り上げ</t>
    </r>
    <rPh sb="4" eb="7">
      <t>アラリエキ</t>
    </rPh>
    <rPh sb="9" eb="10">
      <t>エン</t>
    </rPh>
    <rPh sb="10" eb="12">
      <t>ミマン</t>
    </rPh>
    <rPh sb="13" eb="14">
      <t>キ</t>
    </rPh>
    <rPh sb="15" eb="16">
      <t>ア</t>
    </rPh>
    <phoneticPr fontId="38"/>
  </si>
  <si>
    <t>本体工事内上乗せ</t>
    <phoneticPr fontId="38"/>
  </si>
  <si>
    <r>
      <t>K22 積算利益:1円未満は</t>
    </r>
    <r>
      <rPr>
        <b/>
        <u/>
        <sz val="22"/>
        <color rgb="FFFFFF00"/>
        <rFont val="BIZ UDゴシック"/>
        <family val="3"/>
        <charset val="128"/>
      </rPr>
      <t>切り上げ</t>
    </r>
    <rPh sb="4" eb="6">
      <t>セキサン</t>
    </rPh>
    <rPh sb="6" eb="8">
      <t>リエキ</t>
    </rPh>
    <rPh sb="10" eb="11">
      <t>エン</t>
    </rPh>
    <rPh sb="11" eb="13">
      <t>ミマン</t>
    </rPh>
    <rPh sb="14" eb="15">
      <t>キ</t>
    </rPh>
    <rPh sb="16" eb="17">
      <t>ア</t>
    </rPh>
    <phoneticPr fontId="38"/>
  </si>
  <si>
    <t>積算判定</t>
    <phoneticPr fontId="38"/>
  </si>
  <si>
    <t>中　計</t>
    <rPh sb="0" eb="1">
      <t>ナカ</t>
    </rPh>
    <rPh sb="2" eb="3">
      <t>ケイ</t>
    </rPh>
    <phoneticPr fontId="38"/>
  </si>
  <si>
    <t>粗利率の小数点以下2桁目以降は切り捨て
●●.●%</t>
    <rPh sb="0" eb="3">
      <t>アラリリツ</t>
    </rPh>
    <rPh sb="4" eb="7">
      <t>ショウスウテン</t>
    </rPh>
    <rPh sb="7" eb="9">
      <t>イカ</t>
    </rPh>
    <rPh sb="10" eb="11">
      <t>ケタ</t>
    </rPh>
    <rPh sb="11" eb="12">
      <t>メ</t>
    </rPh>
    <rPh sb="12" eb="14">
      <t>イコウ</t>
    </rPh>
    <rPh sb="15" eb="16">
      <t>キ</t>
    </rPh>
    <rPh sb="17" eb="18">
      <t>ス</t>
    </rPh>
    <phoneticPr fontId="38"/>
  </si>
  <si>
    <t>確定付帯上乗せ</t>
    <phoneticPr fontId="38"/>
  </si>
  <si>
    <t>サービス項目</t>
    <rPh sb="4" eb="6">
      <t>コウモク</t>
    </rPh>
    <phoneticPr fontId="38"/>
  </si>
  <si>
    <t>紹介種類</t>
    <rPh sb="0" eb="2">
      <t>ショウカイ</t>
    </rPh>
    <rPh sb="2" eb="4">
      <t>シュルイ</t>
    </rPh>
    <phoneticPr fontId="38"/>
  </si>
  <si>
    <t>値引き</t>
    <rPh sb="0" eb="2">
      <t>ネビ</t>
    </rPh>
    <phoneticPr fontId="38"/>
  </si>
  <si>
    <t>基準以下役員決済
契約・歩合判定基準</t>
    <phoneticPr fontId="38"/>
  </si>
  <si>
    <t xml:space="preserve"> 販売経費小計</t>
    <rPh sb="1" eb="3">
      <t>ハンバイ</t>
    </rPh>
    <rPh sb="3" eb="5">
      <t>ケイヒ</t>
    </rPh>
    <rPh sb="5" eb="7">
      <t>ショウケイ</t>
    </rPh>
    <phoneticPr fontId="38"/>
  </si>
  <si>
    <t>契約時営業判定予測</t>
    <rPh sb="0" eb="2">
      <t>ケイヤク</t>
    </rPh>
    <rPh sb="2" eb="3">
      <t>ジ</t>
    </rPh>
    <rPh sb="3" eb="5">
      <t>エイギョウ</t>
    </rPh>
    <rPh sb="5" eb="7">
      <t>ハンテイ</t>
    </rPh>
    <rPh sb="7" eb="9">
      <t>ヨソク</t>
    </rPh>
    <phoneticPr fontId="38"/>
  </si>
  <si>
    <t>積算(%)</t>
    <phoneticPr fontId="38"/>
  </si>
  <si>
    <t>基本利益率</t>
    <rPh sb="0" eb="2">
      <t>キホン</t>
    </rPh>
    <rPh sb="2" eb="4">
      <t>リエキ</t>
    </rPh>
    <rPh sb="4" eb="5">
      <t>リツ</t>
    </rPh>
    <phoneticPr fontId="71"/>
  </si>
  <si>
    <t>その他工事</t>
    <rPh sb="2" eb="3">
      <t>タ</t>
    </rPh>
    <rPh sb="3" eb="5">
      <t>コウジ</t>
    </rPh>
    <phoneticPr fontId="38"/>
  </si>
  <si>
    <t>クレバリーホームRY</t>
    <phoneticPr fontId="38"/>
  </si>
  <si>
    <t>総　計</t>
    <rPh sb="0" eb="1">
      <t>ソウ</t>
    </rPh>
    <rPh sb="2" eb="3">
      <t>ケイ</t>
    </rPh>
    <phoneticPr fontId="38"/>
  </si>
  <si>
    <t>追加変更</t>
    <phoneticPr fontId="38"/>
  </si>
  <si>
    <t>請負額合計</t>
    <phoneticPr fontId="38"/>
  </si>
  <si>
    <t>総利益</t>
    <phoneticPr fontId="38"/>
  </si>
  <si>
    <t>利益率</t>
    <rPh sb="0" eb="3">
      <t>リエキリツ</t>
    </rPh>
    <phoneticPr fontId="38"/>
  </si>
  <si>
    <t>積算チェック</t>
    <rPh sb="0" eb="2">
      <t>セキサン</t>
    </rPh>
    <phoneticPr fontId="38"/>
  </si>
  <si>
    <t>確認用</t>
    <rPh sb="0" eb="2">
      <t>カクニン</t>
    </rPh>
    <rPh sb="2" eb="3">
      <t>ヨウ</t>
    </rPh>
    <phoneticPr fontId="38"/>
  </si>
  <si>
    <t>消費税</t>
    <rPh sb="0" eb="3">
      <t>ショウヒゼイ</t>
    </rPh>
    <phoneticPr fontId="38"/>
  </si>
  <si>
    <t>コメント欄</t>
    <rPh sb="4" eb="5">
      <t>ラン</t>
    </rPh>
    <phoneticPr fontId="38"/>
  </si>
  <si>
    <t>転記用</t>
    <rPh sb="0" eb="2">
      <t>テンキ</t>
    </rPh>
    <rPh sb="2" eb="3">
      <t>ヨウ</t>
    </rPh>
    <phoneticPr fontId="38"/>
  </si>
  <si>
    <t>税込み</t>
    <rPh sb="0" eb="2">
      <t>ゼイコ</t>
    </rPh>
    <phoneticPr fontId="38"/>
  </si>
  <si>
    <t>※1円未満は切り捨て</t>
    <phoneticPr fontId="38"/>
  </si>
  <si>
    <t>契約時営業判定予測</t>
    <phoneticPr fontId="38"/>
  </si>
  <si>
    <t>契約覚書入力契約額</t>
    <phoneticPr fontId="38"/>
  </si>
  <si>
    <t>覚書の契約額</t>
    <phoneticPr fontId="38"/>
  </si>
  <si>
    <t>総計</t>
    <rPh sb="0" eb="2">
      <t>ソウケイ</t>
    </rPh>
    <phoneticPr fontId="38"/>
  </si>
  <si>
    <t>差異確認</t>
    <rPh sb="2" eb="4">
      <t>カクニン</t>
    </rPh>
    <phoneticPr fontId="38"/>
  </si>
  <si>
    <r>
      <t>粗利益確認書</t>
    </r>
    <r>
      <rPr>
        <b/>
        <sz val="36"/>
        <color theme="0"/>
        <rFont val="BIZ UDゴシック"/>
        <family val="3"/>
        <charset val="128"/>
      </rPr>
      <t>（設計契約）</t>
    </r>
    <rPh sb="7" eb="9">
      <t>セッケイ</t>
    </rPh>
    <phoneticPr fontId="38"/>
  </si>
  <si>
    <t>勤労感謝の日</t>
  </si>
  <si>
    <t>文化の日</t>
  </si>
  <si>
    <t>スポーツの日</t>
  </si>
  <si>
    <t>秋分の日</t>
  </si>
  <si>
    <t>国民の休日</t>
  </si>
  <si>
    <t>敬老の日</t>
  </si>
  <si>
    <t>山の日</t>
  </si>
  <si>
    <t>海の日</t>
  </si>
  <si>
    <t>こどもの日</t>
  </si>
  <si>
    <t>みどりの日</t>
  </si>
  <si>
    <t>憲法記念日</t>
  </si>
  <si>
    <t>昭和の日</t>
  </si>
  <si>
    <t>春分の日</t>
  </si>
  <si>
    <t>天皇誕生日</t>
  </si>
  <si>
    <t>建国記念の日</t>
  </si>
  <si>
    <t>成人の日</t>
  </si>
  <si>
    <t>元日</t>
  </si>
  <si>
    <t>振替休日</t>
  </si>
  <si>
    <t>年末年始</t>
  </si>
  <si>
    <t>お盆</t>
  </si>
  <si>
    <t>埋蔵有着工日</t>
    <rPh sb="0" eb="2">
      <t>マイゾウ</t>
    </rPh>
    <rPh sb="2" eb="3">
      <t>ア</t>
    </rPh>
    <rPh sb="3" eb="5">
      <t>チャッコウ</t>
    </rPh>
    <rPh sb="5" eb="6">
      <t>ビ</t>
    </rPh>
    <phoneticPr fontId="78"/>
  </si>
  <si>
    <t>祝日テーブル[祝日]</t>
    <rPh sb="0" eb="2">
      <t>シュクジツ</t>
    </rPh>
    <rPh sb="7" eb="9">
      <t>シュクジツ</t>
    </rPh>
    <phoneticPr fontId="78"/>
  </si>
  <si>
    <t>土と日</t>
    <rPh sb="0" eb="1">
      <t>ド</t>
    </rPh>
    <rPh sb="2" eb="3">
      <t>ニチ</t>
    </rPh>
    <phoneticPr fontId="78"/>
  </si>
  <si>
    <t>承認図14日前</t>
    <rPh sb="0" eb="2">
      <t>ショウニン</t>
    </rPh>
    <rPh sb="2" eb="3">
      <t>ズ</t>
    </rPh>
    <rPh sb="5" eb="7">
      <t>ニチマエ</t>
    </rPh>
    <phoneticPr fontId="78"/>
  </si>
  <si>
    <t>どちらか長いほう</t>
    <rPh sb="4" eb="5">
      <t>ナガ</t>
    </rPh>
    <phoneticPr fontId="78"/>
  </si>
  <si>
    <t>地盤改良着手日</t>
    <rPh sb="0" eb="2">
      <t>ジバン</t>
    </rPh>
    <rPh sb="2" eb="4">
      <t>カイリョウ</t>
    </rPh>
    <rPh sb="4" eb="6">
      <t>チャクシュ</t>
    </rPh>
    <rPh sb="6" eb="7">
      <t>ビ</t>
    </rPh>
    <phoneticPr fontId="78"/>
  </si>
  <si>
    <t>地盤改良 有り</t>
    <rPh sb="0" eb="2">
      <t>ジバン</t>
    </rPh>
    <rPh sb="2" eb="4">
      <t>カイリョウ</t>
    </rPh>
    <rPh sb="5" eb="6">
      <t>ア</t>
    </rPh>
    <phoneticPr fontId="78"/>
  </si>
  <si>
    <t>地耐力調査</t>
    <phoneticPr fontId="78"/>
  </si>
  <si>
    <t>長期申込日</t>
    <rPh sb="0" eb="2">
      <t>チョウキ</t>
    </rPh>
    <rPh sb="2" eb="4">
      <t>モウシコミ</t>
    </rPh>
    <rPh sb="4" eb="5">
      <t>ビ</t>
    </rPh>
    <phoneticPr fontId="78"/>
  </si>
  <si>
    <t>長期優良・低炭素</t>
    <rPh sb="0" eb="2">
      <t>チョウキ</t>
    </rPh>
    <rPh sb="2" eb="4">
      <t>ユウリョウ</t>
    </rPh>
    <rPh sb="5" eb="8">
      <t>テイタンソ</t>
    </rPh>
    <phoneticPr fontId="78"/>
  </si>
  <si>
    <t>性能評価・無し</t>
    <rPh sb="0" eb="2">
      <t>セイノウ</t>
    </rPh>
    <rPh sb="2" eb="4">
      <t>ヒョウカ</t>
    </rPh>
    <rPh sb="5" eb="6">
      <t>ナ</t>
    </rPh>
    <phoneticPr fontId="78"/>
  </si>
  <si>
    <t>地盤改良 無し</t>
    <rPh sb="0" eb="2">
      <t>ジバン</t>
    </rPh>
    <rPh sb="2" eb="4">
      <t>カイリョウ</t>
    </rPh>
    <rPh sb="5" eb="6">
      <t>ナ</t>
    </rPh>
    <phoneticPr fontId="78"/>
  </si>
  <si>
    <t>着工予定日</t>
    <rPh sb="0" eb="2">
      <t>チャッコウ</t>
    </rPh>
    <rPh sb="2" eb="4">
      <t>ヨテイ</t>
    </rPh>
    <rPh sb="4" eb="5">
      <t>ビ</t>
    </rPh>
    <phoneticPr fontId="78"/>
  </si>
  <si>
    <t>2023/3/9 条件追加</t>
    <rPh sb="9" eb="11">
      <t>ジョウケン</t>
    </rPh>
    <rPh sb="11" eb="13">
      <t>ツイカ</t>
    </rPh>
    <phoneticPr fontId="38"/>
  </si>
  <si>
    <t>祝日テーブル[祝日]</t>
    <phoneticPr fontId="38"/>
  </si>
  <si>
    <t>土と日</t>
    <phoneticPr fontId="38"/>
  </si>
  <si>
    <t>長期性能評価</t>
    <phoneticPr fontId="38"/>
  </si>
  <si>
    <t>どちらか長いほう</t>
    <phoneticPr fontId="38"/>
  </si>
  <si>
    <t>工事種別 新築</t>
    <rPh sb="0" eb="2">
      <t>コウジ</t>
    </rPh>
    <rPh sb="2" eb="4">
      <t>シュベツ</t>
    </rPh>
    <rPh sb="5" eb="7">
      <t>シンチク</t>
    </rPh>
    <phoneticPr fontId="78"/>
  </si>
  <si>
    <t>地耐力調査日</t>
    <rPh sb="0" eb="3">
      <t>チタイリョク</t>
    </rPh>
    <rPh sb="3" eb="6">
      <t>チョウサビ</t>
    </rPh>
    <phoneticPr fontId="78"/>
  </si>
  <si>
    <t>工事種別 建替</t>
    <rPh sb="0" eb="2">
      <t>コウジ</t>
    </rPh>
    <rPh sb="2" eb="4">
      <t>シュベツ</t>
    </rPh>
    <rPh sb="5" eb="7">
      <t>タテカ</t>
    </rPh>
    <phoneticPr fontId="78"/>
  </si>
  <si>
    <t>空欄</t>
    <rPh sb="0" eb="2">
      <t>クウラン</t>
    </rPh>
    <phoneticPr fontId="78"/>
  </si>
  <si>
    <t>-</t>
    <phoneticPr fontId="78"/>
  </si>
  <si>
    <t>保険登録</t>
    <rPh sb="0" eb="2">
      <t>ホケン</t>
    </rPh>
    <rPh sb="2" eb="4">
      <t>トウロク</t>
    </rPh>
    <phoneticPr fontId="78"/>
  </si>
  <si>
    <t>長期・低炭素申込日</t>
    <rPh sb="0" eb="2">
      <t>チョウキ</t>
    </rPh>
    <rPh sb="3" eb="6">
      <t>テイタンソ</t>
    </rPh>
    <rPh sb="6" eb="8">
      <t>モウシコミ</t>
    </rPh>
    <rPh sb="8" eb="9">
      <t>ビ</t>
    </rPh>
    <phoneticPr fontId="78"/>
  </si>
  <si>
    <t>長期・低炭素決済日</t>
    <rPh sb="0" eb="2">
      <t>チョウキ</t>
    </rPh>
    <rPh sb="3" eb="6">
      <t>テイタンソ</t>
    </rPh>
    <rPh sb="6" eb="9">
      <t>ケッサイビ</t>
    </rPh>
    <phoneticPr fontId="78"/>
  </si>
  <si>
    <t>確認提出日</t>
    <rPh sb="0" eb="2">
      <t>カクニン</t>
    </rPh>
    <rPh sb="2" eb="4">
      <t>テイシュツ</t>
    </rPh>
    <rPh sb="4" eb="5">
      <t>ビ</t>
    </rPh>
    <phoneticPr fontId="78"/>
  </si>
  <si>
    <t>構造計算無し</t>
    <rPh sb="0" eb="2">
      <t>コウゾウ</t>
    </rPh>
    <rPh sb="2" eb="4">
      <t>ケイサン</t>
    </rPh>
    <rPh sb="4" eb="5">
      <t>ナ</t>
    </rPh>
    <phoneticPr fontId="78"/>
  </si>
  <si>
    <t>構造計算有り</t>
    <rPh sb="0" eb="2">
      <t>コウゾウ</t>
    </rPh>
    <rPh sb="2" eb="4">
      <t>ケイサン</t>
    </rPh>
    <rPh sb="4" eb="5">
      <t>ア</t>
    </rPh>
    <phoneticPr fontId="78"/>
  </si>
  <si>
    <t>平屋,2階建て</t>
    <rPh sb="0" eb="2">
      <t>ヒラヤ</t>
    </rPh>
    <rPh sb="4" eb="6">
      <t>カイダ</t>
    </rPh>
    <phoneticPr fontId="78"/>
  </si>
  <si>
    <t>3階建て,地下有り</t>
    <rPh sb="1" eb="3">
      <t>カイダ</t>
    </rPh>
    <rPh sb="5" eb="7">
      <t>チカ</t>
    </rPh>
    <rPh sb="7" eb="8">
      <t>ア</t>
    </rPh>
    <phoneticPr fontId="78"/>
  </si>
  <si>
    <t>地耐力調査日</t>
    <rPh sb="0" eb="5">
      <t>チタイリョクチョウサ</t>
    </rPh>
    <rPh sb="5" eb="6">
      <t>ビ</t>
    </rPh>
    <phoneticPr fontId="78"/>
  </si>
  <si>
    <t>性能評価</t>
    <rPh sb="0" eb="2">
      <t>セイノウ</t>
    </rPh>
    <rPh sb="2" eb="4">
      <t>ヒョウカ</t>
    </rPh>
    <phoneticPr fontId="78"/>
  </si>
  <si>
    <t>性能評価発行日</t>
    <rPh sb="0" eb="2">
      <t>セイノウ</t>
    </rPh>
    <rPh sb="2" eb="4">
      <t>ヒョウカ</t>
    </rPh>
    <rPh sb="4" eb="6">
      <t>ハッコウ</t>
    </rPh>
    <rPh sb="6" eb="7">
      <t>ヒ</t>
    </rPh>
    <phoneticPr fontId="78"/>
  </si>
  <si>
    <t>年末年始</t>
    <rPh sb="0" eb="2">
      <t>ネンマツ</t>
    </rPh>
    <rPh sb="2" eb="4">
      <t>ネンシ</t>
    </rPh>
    <phoneticPr fontId="71"/>
  </si>
  <si>
    <t>長期優良</t>
    <rPh sb="0" eb="2">
      <t>チョウキ</t>
    </rPh>
    <rPh sb="2" eb="4">
      <t>ユウリョウ</t>
    </rPh>
    <phoneticPr fontId="78"/>
  </si>
  <si>
    <t>低炭素</t>
    <rPh sb="0" eb="3">
      <t>テイタンソ</t>
    </rPh>
    <phoneticPr fontId="78"/>
  </si>
  <si>
    <t>長期・低炭素申込日</t>
    <rPh sb="0" eb="2">
      <t>チョウキ</t>
    </rPh>
    <rPh sb="3" eb="6">
      <t>テイタンソ</t>
    </rPh>
    <rPh sb="6" eb="8">
      <t>モウシコミ</t>
    </rPh>
    <rPh sb="8" eb="9">
      <t>ヒ</t>
    </rPh>
    <phoneticPr fontId="78"/>
  </si>
  <si>
    <t>2021/3/17 修正</t>
    <rPh sb="10" eb="12">
      <t>シュウセイ</t>
    </rPh>
    <phoneticPr fontId="78"/>
  </si>
  <si>
    <t>祝日テーブル[祝日]</t>
  </si>
  <si>
    <t>解体完了日</t>
    <rPh sb="0" eb="2">
      <t>カイタイ</t>
    </rPh>
    <rPh sb="2" eb="5">
      <t>カンリョウビ</t>
    </rPh>
    <phoneticPr fontId="78"/>
  </si>
  <si>
    <t>図確引継日1</t>
    <rPh sb="0" eb="1">
      <t>ズ</t>
    </rPh>
    <rPh sb="1" eb="2">
      <t>カク</t>
    </rPh>
    <rPh sb="2" eb="4">
      <t>ヒキツギ</t>
    </rPh>
    <rPh sb="4" eb="5">
      <t>ビ</t>
    </rPh>
    <phoneticPr fontId="78"/>
  </si>
  <si>
    <t>地耐力調査</t>
    <rPh sb="0" eb="5">
      <t>チタイリョクチョウサ</t>
    </rPh>
    <phoneticPr fontId="78"/>
  </si>
  <si>
    <t>お盆</t>
    <rPh sb="1" eb="2">
      <t>ボン</t>
    </rPh>
    <phoneticPr fontId="71"/>
  </si>
  <si>
    <t>図面確定用日程</t>
    <phoneticPr fontId="78"/>
  </si>
  <si>
    <t>解体着手日</t>
    <rPh sb="0" eb="2">
      <t>カイタイ</t>
    </rPh>
    <rPh sb="2" eb="4">
      <t>チャクシュ</t>
    </rPh>
    <rPh sb="4" eb="5">
      <t>ビ</t>
    </rPh>
    <phoneticPr fontId="78"/>
  </si>
  <si>
    <t>解体工事 完了</t>
    <rPh sb="0" eb="2">
      <t>カイタイ</t>
    </rPh>
    <rPh sb="2" eb="4">
      <t>コウジ</t>
    </rPh>
    <rPh sb="5" eb="7">
      <t>カンリョウ</t>
    </rPh>
    <phoneticPr fontId="78"/>
  </si>
  <si>
    <t>休日祝日判定無し</t>
    <rPh sb="0" eb="2">
      <t>キュウジツ</t>
    </rPh>
    <rPh sb="2" eb="4">
      <t>シュクジツ</t>
    </rPh>
    <rPh sb="4" eb="6">
      <t>ハンテイ</t>
    </rPh>
    <rPh sb="6" eb="7">
      <t>ナ</t>
    </rPh>
    <phoneticPr fontId="78"/>
  </si>
  <si>
    <t>確認決裁日</t>
    <rPh sb="0" eb="2">
      <t>カクニン</t>
    </rPh>
    <rPh sb="2" eb="4">
      <t>ケッサイ</t>
    </rPh>
    <rPh sb="4" eb="5">
      <t>ビ</t>
    </rPh>
    <phoneticPr fontId="78"/>
  </si>
  <si>
    <t>解体工事 着手</t>
    <rPh sb="0" eb="2">
      <t>カイタイ</t>
    </rPh>
    <rPh sb="2" eb="4">
      <t>コウジ</t>
    </rPh>
    <rPh sb="5" eb="7">
      <t>チャクシュ</t>
    </rPh>
    <phoneticPr fontId="78"/>
  </si>
  <si>
    <t>火のみ</t>
    <rPh sb="0" eb="1">
      <t>カ</t>
    </rPh>
    <phoneticPr fontId="78"/>
  </si>
  <si>
    <t>四者承認図前日</t>
    <rPh sb="0" eb="2">
      <t>ヨンシャ</t>
    </rPh>
    <rPh sb="2" eb="4">
      <t>ショウニン</t>
    </rPh>
    <rPh sb="4" eb="5">
      <t>ズ</t>
    </rPh>
    <rPh sb="5" eb="7">
      <t>ゼンジツ</t>
    </rPh>
    <phoneticPr fontId="78"/>
  </si>
  <si>
    <t>承認図14日前</t>
    <rPh sb="0" eb="2">
      <t>ショウニン</t>
    </rPh>
    <rPh sb="2" eb="3">
      <t>ズ</t>
    </rPh>
    <rPh sb="5" eb="6">
      <t>ニチ</t>
    </rPh>
    <rPh sb="6" eb="7">
      <t>マエ</t>
    </rPh>
    <phoneticPr fontId="78"/>
  </si>
  <si>
    <t>図面確定用日程（年末年始・お盆以外）</t>
    <rPh sb="0" eb="2">
      <t>ズメン</t>
    </rPh>
    <rPh sb="2" eb="4">
      <t>カクテイ</t>
    </rPh>
    <rPh sb="4" eb="5">
      <t>ヨウ</t>
    </rPh>
    <rPh sb="5" eb="7">
      <t>ニッテイ</t>
    </rPh>
    <rPh sb="8" eb="10">
      <t>ネンマツ</t>
    </rPh>
    <rPh sb="10" eb="12">
      <t>ネンシ</t>
    </rPh>
    <rPh sb="14" eb="15">
      <t>ボン</t>
    </rPh>
    <rPh sb="15" eb="17">
      <t>イガイ</t>
    </rPh>
    <phoneticPr fontId="71"/>
  </si>
  <si>
    <t>更新日</t>
    <rPh sb="0" eb="3">
      <t>コウシンビ</t>
    </rPh>
    <phoneticPr fontId="71"/>
  </si>
  <si>
    <t>地盤改良工事で、解体がある場合は地耐力調査より14日後。改良工事から着工まで7日後以上とする</t>
  </si>
  <si>
    <t>地盤改良工事は解体がない場合は、長期申込の2日後(長期・低炭素ない場合は、承認図後とする)</t>
    <rPh sb="37" eb="40">
      <t>ショウニンズ</t>
    </rPh>
    <rPh sb="40" eb="41">
      <t>ゴ</t>
    </rPh>
    <phoneticPr fontId="71"/>
  </si>
  <si>
    <t>建替の場合地盤調査から実働8日間で長期提出</t>
  </si>
  <si>
    <t xml:space="preserve"> </t>
  </si>
  <si>
    <t>仕様打完了日</t>
    <rPh sb="0" eb="2">
      <t>シヨウ</t>
    </rPh>
    <rPh sb="2" eb="3">
      <t>ウ</t>
    </rPh>
    <rPh sb="3" eb="6">
      <t>カンリョウビ</t>
    </rPh>
    <phoneticPr fontId="78"/>
  </si>
  <si>
    <t>構造計算 無し</t>
    <rPh sb="0" eb="2">
      <t>コウゾウ</t>
    </rPh>
    <rPh sb="2" eb="4">
      <t>ケイサン</t>
    </rPh>
    <rPh sb="5" eb="6">
      <t>ナ</t>
    </rPh>
    <phoneticPr fontId="78"/>
  </si>
  <si>
    <t>毎年、祝日を訂正する必要があります。</t>
    <rPh sb="0" eb="2">
      <t>マイトシ</t>
    </rPh>
    <rPh sb="3" eb="5">
      <t>シュクジツ</t>
    </rPh>
    <rPh sb="6" eb="8">
      <t>テイセイ</t>
    </rPh>
    <rPh sb="10" eb="12">
      <t>ヒツヨウ</t>
    </rPh>
    <phoneticPr fontId="71"/>
  </si>
  <si>
    <t>3階・地下有り新築も確認提出から約40日後に長期提出(確認提出は図確日から50日後)</t>
  </si>
  <si>
    <t>※2　行政によって14日か30日か選択すること</t>
    <rPh sb="3" eb="5">
      <t>ギョウセイ</t>
    </rPh>
    <rPh sb="11" eb="12">
      <t>ニチ</t>
    </rPh>
    <rPh sb="15" eb="16">
      <t>ニチ</t>
    </rPh>
    <rPh sb="17" eb="19">
      <t>センタク</t>
    </rPh>
    <phoneticPr fontId="71"/>
  </si>
  <si>
    <t>構造計算 有り</t>
    <rPh sb="0" eb="2">
      <t>コウゾウ</t>
    </rPh>
    <rPh sb="2" eb="4">
      <t>ケイサン</t>
    </rPh>
    <rPh sb="5" eb="6">
      <t>ア</t>
    </rPh>
    <phoneticPr fontId="78"/>
  </si>
  <si>
    <t>四者承認図前</t>
    <rPh sb="0" eb="2">
      <t>ヨンシャ</t>
    </rPh>
    <rPh sb="2" eb="4">
      <t>ショウニン</t>
    </rPh>
    <rPh sb="4" eb="5">
      <t>ズ</t>
    </rPh>
    <rPh sb="5" eb="6">
      <t>マエ</t>
    </rPh>
    <phoneticPr fontId="78"/>
  </si>
  <si>
    <t>申請関係は土日休み・それ以外は火休み想定</t>
    <rPh sb="0" eb="2">
      <t>シンセイ</t>
    </rPh>
    <rPh sb="2" eb="4">
      <t>カンケイ</t>
    </rPh>
    <rPh sb="5" eb="7">
      <t>ドニチ</t>
    </rPh>
    <rPh sb="7" eb="8">
      <t>ヤス</t>
    </rPh>
    <rPh sb="12" eb="14">
      <t>イガイ</t>
    </rPh>
    <rPh sb="15" eb="16">
      <t>カ</t>
    </rPh>
    <rPh sb="16" eb="17">
      <t>ヤス</t>
    </rPh>
    <rPh sb="18" eb="20">
      <t>ソウテイ</t>
    </rPh>
    <phoneticPr fontId="71"/>
  </si>
  <si>
    <t>長期提出日 新築の場合確認提出から約40日後。構造計算2階建以下は47日後。</t>
  </si>
  <si>
    <t>※2　図面確定前までに完了すること</t>
    <rPh sb="3" eb="5">
      <t>ズメン</t>
    </rPh>
    <rPh sb="5" eb="7">
      <t>カクテイ</t>
    </rPh>
    <rPh sb="7" eb="8">
      <t>マエ</t>
    </rPh>
    <rPh sb="11" eb="13">
      <t>カンリョウ</t>
    </rPh>
    <phoneticPr fontId="71"/>
  </si>
  <si>
    <t>スケジューリング（Workday関数,Workday.intl関数）</t>
    <phoneticPr fontId="71"/>
  </si>
  <si>
    <t>地耐力調査は新築は図面確定より7日間、建替の場合は解体完了から7日後。</t>
  </si>
  <si>
    <t>※1　許容応力度計算。3階建て、地下有り、2階建て特殊構造</t>
    <rPh sb="3" eb="8">
      <t>キョヨウオウリョクド</t>
    </rPh>
    <rPh sb="8" eb="10">
      <t>ケイサン</t>
    </rPh>
    <rPh sb="12" eb="13">
      <t>カイ</t>
    </rPh>
    <rPh sb="13" eb="14">
      <t>ダ</t>
    </rPh>
    <rPh sb="16" eb="18">
      <t>チカ</t>
    </rPh>
    <rPh sb="18" eb="19">
      <t>ア</t>
    </rPh>
    <rPh sb="22" eb="24">
      <t>カイダ</t>
    </rPh>
    <rPh sb="25" eb="27">
      <t>トクシュ</t>
    </rPh>
    <rPh sb="27" eb="29">
      <t>コウゾウ</t>
    </rPh>
    <phoneticPr fontId="71"/>
  </si>
  <si>
    <t>図確引継日2</t>
    <rPh sb="0" eb="1">
      <t>ズ</t>
    </rPh>
    <rPh sb="1" eb="2">
      <t>カク</t>
    </rPh>
    <rPh sb="2" eb="4">
      <t>ヒキツギ</t>
    </rPh>
    <rPh sb="4" eb="5">
      <t>ビ</t>
    </rPh>
    <phoneticPr fontId="78"/>
  </si>
  <si>
    <t>世帯 二世帯以外</t>
    <rPh sb="0" eb="2">
      <t>セタイ</t>
    </rPh>
    <rPh sb="3" eb="6">
      <t>ニセタイ</t>
    </rPh>
    <rPh sb="6" eb="8">
      <t>イガイ</t>
    </rPh>
    <phoneticPr fontId="78"/>
  </si>
  <si>
    <t>※標準日数は各工程の休日（火、土日）を考慮して、</t>
    <phoneticPr fontId="71"/>
  </si>
  <si>
    <t>解体着手は建替の場合、確認決済より1日。完了は着手より14日間。</t>
  </si>
  <si>
    <t>世帯 二世帯</t>
    <rPh sb="0" eb="2">
      <t>セタイ</t>
    </rPh>
    <rPh sb="3" eb="6">
      <t>ニセタイ</t>
    </rPh>
    <phoneticPr fontId="78"/>
  </si>
  <si>
    <t>仕様打完了日</t>
    <phoneticPr fontId="78"/>
  </si>
  <si>
    <t>埋蔵文化の場合、確認提出は同時に可能。埋蔵文化提出から60日後以降に着工可能</t>
  </si>
  <si>
    <t>埋蔵文化</t>
    <rPh sb="0" eb="2">
      <t>マイゾウ</t>
    </rPh>
    <rPh sb="2" eb="4">
      <t>ブンカ</t>
    </rPh>
    <phoneticPr fontId="71"/>
  </si>
  <si>
    <t>←　スケジューリングによる必要リードタイム</t>
    <rPh sb="13" eb="15">
      <t>ヒツヨウ</t>
    </rPh>
    <phoneticPr fontId="71"/>
  </si>
  <si>
    <t>但し、構造計算がある場合は、景観・お知らせ看板(練馬)提出が後ろ倒しになり、44日後に確認提出となる</t>
  </si>
  <si>
    <t>図確引継日１</t>
    <rPh sb="0" eb="1">
      <t>ズ</t>
    </rPh>
    <rPh sb="1" eb="2">
      <t>カク</t>
    </rPh>
    <rPh sb="2" eb="4">
      <t>ヒキツギ</t>
    </rPh>
    <rPh sb="4" eb="5">
      <t>ビ</t>
    </rPh>
    <phoneticPr fontId="78"/>
  </si>
  <si>
    <t>長期・低炭素 有り</t>
    <rPh sb="0" eb="2">
      <t>チョウキ</t>
    </rPh>
    <rPh sb="3" eb="6">
      <t>テイタンソ</t>
    </rPh>
    <rPh sb="7" eb="8">
      <t>ア</t>
    </rPh>
    <phoneticPr fontId="78"/>
  </si>
  <si>
    <t>作成方針</t>
    <rPh sb="0" eb="2">
      <t>サクセイ</t>
    </rPh>
    <rPh sb="2" eb="4">
      <t>ホウシン</t>
    </rPh>
    <phoneticPr fontId="71"/>
  </si>
  <si>
    <t>景観条例、お知らせ看板(練馬)は提出30日後に確認提出が可能。お知らせ看板(練馬以外)は15日後</t>
  </si>
  <si>
    <t>建築許可</t>
    <rPh sb="0" eb="4">
      <t>ケンチクキョカ</t>
    </rPh>
    <phoneticPr fontId="71"/>
  </si>
  <si>
    <t>長期・低炭素 無し</t>
    <rPh sb="0" eb="2">
      <t>チョウキ</t>
    </rPh>
    <rPh sb="3" eb="6">
      <t>テイタンソ</t>
    </rPh>
    <rPh sb="7" eb="8">
      <t>ナ</t>
    </rPh>
    <phoneticPr fontId="78"/>
  </si>
  <si>
    <t>天空率計算</t>
    <rPh sb="0" eb="2">
      <t>テンクウ</t>
    </rPh>
    <rPh sb="2" eb="3">
      <t>リツ</t>
    </rPh>
    <rPh sb="3" eb="5">
      <t>ケイサン</t>
    </rPh>
    <phoneticPr fontId="71"/>
  </si>
  <si>
    <t>伏せ図チェック</t>
    <rPh sb="0" eb="1">
      <t>フ</t>
    </rPh>
    <rPh sb="2" eb="3">
      <t>ズ</t>
    </rPh>
    <phoneticPr fontId="78"/>
  </si>
  <si>
    <t>長期・性能評価等の申請がない場合時間短縮の為、引継ぎ期間短縮、伏図チェック期間短縮)</t>
  </si>
  <si>
    <t>緑化計画</t>
    <rPh sb="0" eb="2">
      <t>リョクカ</t>
    </rPh>
    <rPh sb="2" eb="4">
      <t>ケイカク</t>
    </rPh>
    <phoneticPr fontId="71"/>
  </si>
  <si>
    <t>確認申請提出～済証まで 14日間(3階建て、地下有りは30日間)</t>
  </si>
  <si>
    <t>中高層条例看板(練馬)</t>
    <rPh sb="0" eb="1">
      <t>ナカ</t>
    </rPh>
    <rPh sb="1" eb="3">
      <t>コウソウ</t>
    </rPh>
    <rPh sb="3" eb="5">
      <t>ジョウレイ</t>
    </rPh>
    <rPh sb="5" eb="7">
      <t>カンバン</t>
    </rPh>
    <rPh sb="8" eb="10">
      <t>ネリマ</t>
    </rPh>
    <phoneticPr fontId="71"/>
  </si>
  <si>
    <t>図面確定～事前申請または確認申請提出 14日間目標。3階・地下有り物件は図確から50日程度目標</t>
  </si>
  <si>
    <t>中高層条例看板</t>
    <rPh sb="0" eb="3">
      <t>チュウコウソウ</t>
    </rPh>
    <rPh sb="3" eb="5">
      <t>ジョウレイ</t>
    </rPh>
    <rPh sb="5" eb="7">
      <t>カンバン</t>
    </rPh>
    <phoneticPr fontId="71"/>
  </si>
  <si>
    <t>確認決裁</t>
    <rPh sb="0" eb="2">
      <t>カクニン</t>
    </rPh>
    <rPh sb="2" eb="4">
      <t>ケッサイ</t>
    </rPh>
    <phoneticPr fontId="78"/>
  </si>
  <si>
    <t>勤労感謝の日</t>
    <rPh sb="0" eb="2">
      <t>キンロウ</t>
    </rPh>
    <rPh sb="2" eb="4">
      <t>カンシャ</t>
    </rPh>
    <rPh sb="5" eb="6">
      <t>ヒ</t>
    </rPh>
    <phoneticPr fontId="71"/>
  </si>
  <si>
    <t>図面確定～初回伏図チェック 20日間目標 (3階建ての場合図確から30日後)</t>
  </si>
  <si>
    <t>建上地：三鷹市</t>
    <rPh sb="4" eb="6">
      <t>ミタカ</t>
    </rPh>
    <rPh sb="6" eb="7">
      <t>シ</t>
    </rPh>
    <phoneticPr fontId="71"/>
  </si>
  <si>
    <t>風致地区</t>
    <rPh sb="0" eb="2">
      <t>フウチ</t>
    </rPh>
    <rPh sb="2" eb="4">
      <t>チク</t>
    </rPh>
    <phoneticPr fontId="71"/>
  </si>
  <si>
    <t>事前決済日</t>
    <rPh sb="0" eb="2">
      <t>ジゼン</t>
    </rPh>
    <rPh sb="2" eb="5">
      <t>ケッサイビ</t>
    </rPh>
    <phoneticPr fontId="78"/>
  </si>
  <si>
    <t>文化の日</t>
    <rPh sb="0" eb="2">
      <t>ブンカ</t>
    </rPh>
    <rPh sb="3" eb="4">
      <t>ヒ</t>
    </rPh>
    <phoneticPr fontId="71"/>
  </si>
  <si>
    <t>埋蔵有着工日</t>
    <rPh sb="0" eb="2">
      <t>マイゾウ</t>
    </rPh>
    <rPh sb="2" eb="3">
      <t>アリ</t>
    </rPh>
    <rPh sb="3" eb="5">
      <t>チャッコウ</t>
    </rPh>
    <rPh sb="5" eb="6">
      <t>ビ</t>
    </rPh>
    <phoneticPr fontId="71"/>
  </si>
  <si>
    <t>承認図から着工まで 14日間以上</t>
  </si>
  <si>
    <t>建上地：武蔵野市</t>
    <rPh sb="4" eb="8">
      <t>ムサシノシ</t>
    </rPh>
    <phoneticPr fontId="71"/>
  </si>
  <si>
    <t>景観条例</t>
    <rPh sb="0" eb="2">
      <t>ケイカン</t>
    </rPh>
    <rPh sb="2" eb="4">
      <t>ジョウレイ</t>
    </rPh>
    <phoneticPr fontId="71"/>
  </si>
  <si>
    <t>2021/10/1 更新</t>
    <rPh sb="10" eb="12">
      <t>コウシン</t>
    </rPh>
    <phoneticPr fontId="38"/>
  </si>
  <si>
    <t>構造計算 有り</t>
    <phoneticPr fontId="38"/>
  </si>
  <si>
    <t>事前あり</t>
    <rPh sb="0" eb="2">
      <t>ジゼン</t>
    </rPh>
    <phoneticPr fontId="78"/>
  </si>
  <si>
    <t>秋分の日</t>
    <rPh sb="0" eb="2">
      <t>シュウブン</t>
    </rPh>
    <rPh sb="3" eb="4">
      <t>ヒ</t>
    </rPh>
    <phoneticPr fontId="71"/>
  </si>
  <si>
    <t>4者会議～承認図 7日間目標 (3階建ての場合21日間)</t>
  </si>
  <si>
    <t>建上地：杉並区</t>
    <rPh sb="0" eb="1">
      <t>タツル</t>
    </rPh>
    <rPh sb="1" eb="2">
      <t>ウエ</t>
    </rPh>
    <rPh sb="2" eb="3">
      <t>チ</t>
    </rPh>
    <rPh sb="4" eb="7">
      <t>スギナミク</t>
    </rPh>
    <phoneticPr fontId="71"/>
  </si>
  <si>
    <t>76条(区画整理)</t>
    <rPh sb="2" eb="3">
      <t>ジョウ</t>
    </rPh>
    <rPh sb="4" eb="6">
      <t>クカク</t>
    </rPh>
    <rPh sb="6" eb="8">
      <t>セイリ</t>
    </rPh>
    <phoneticPr fontId="71"/>
  </si>
  <si>
    <t>事前なし</t>
    <phoneticPr fontId="78"/>
  </si>
  <si>
    <t>敬老の日</t>
    <rPh sb="0" eb="2">
      <t>ケイロウ</t>
    </rPh>
    <rPh sb="3" eb="4">
      <t>ヒ</t>
    </rPh>
    <phoneticPr fontId="71"/>
  </si>
  <si>
    <t>仕様打ち完了～4者会議 7日間目標、または確認決裁後。(構造計算物件の場合は図確から約60日)</t>
  </si>
  <si>
    <t>日進小規模</t>
    <rPh sb="0" eb="2">
      <t>ニッシン</t>
    </rPh>
    <rPh sb="2" eb="5">
      <t>ショウキボ</t>
    </rPh>
    <phoneticPr fontId="71"/>
  </si>
  <si>
    <t>53条</t>
    <rPh sb="2" eb="3">
      <t>ジョウ</t>
    </rPh>
    <phoneticPr fontId="71"/>
  </si>
  <si>
    <t>引継ぎ～仕様打ち合わせ完了 14日間目標(二世帯の場合は20日間)</t>
  </si>
  <si>
    <t>名古屋宅造調書</t>
    <rPh sb="0" eb="3">
      <t>ナゴヤ</t>
    </rPh>
    <rPh sb="3" eb="5">
      <t>タクゾウ</t>
    </rPh>
    <rPh sb="5" eb="7">
      <t>チョウショ</t>
    </rPh>
    <phoneticPr fontId="71"/>
  </si>
  <si>
    <t>地区計画</t>
    <rPh sb="0" eb="2">
      <t>チク</t>
    </rPh>
    <rPh sb="2" eb="4">
      <t>ケイカク</t>
    </rPh>
    <phoneticPr fontId="71"/>
  </si>
  <si>
    <t>図面確定～引継ぎまで14日間目標(長期・性能評価等申請なし、引継ぎ7日間)</t>
  </si>
  <si>
    <t>愛知宅造区域</t>
    <rPh sb="0" eb="2">
      <t>アイチ</t>
    </rPh>
    <rPh sb="2" eb="4">
      <t>タクゾウ</t>
    </rPh>
    <rPh sb="4" eb="6">
      <t>クイキ</t>
    </rPh>
    <phoneticPr fontId="71"/>
  </si>
  <si>
    <r>
      <t>狭あい</t>
    </r>
    <r>
      <rPr>
        <sz val="10"/>
        <color rgb="FFFF0000"/>
        <rFont val="Meiryo UI"/>
        <family val="3"/>
        <charset val="128"/>
      </rPr>
      <t>※2</t>
    </r>
    <rPh sb="0" eb="1">
      <t>キョウ</t>
    </rPh>
    <phoneticPr fontId="71"/>
  </si>
  <si>
    <t>契約から図面確定まで、目標日数35日(5週間) ※狭あい+30日</t>
  </si>
  <si>
    <t>日数</t>
    <rPh sb="0" eb="2">
      <t>ニッスウ</t>
    </rPh>
    <phoneticPr fontId="71"/>
  </si>
  <si>
    <t>その他</t>
    <rPh sb="2" eb="3">
      <t>タ</t>
    </rPh>
    <phoneticPr fontId="71"/>
  </si>
  <si>
    <t>事前申請</t>
    <rPh sb="0" eb="2">
      <t>ジゼン</t>
    </rPh>
    <rPh sb="2" eb="4">
      <t>シンセイ</t>
    </rPh>
    <phoneticPr fontId="71"/>
  </si>
  <si>
    <t>確認提出</t>
    <rPh sb="0" eb="2">
      <t>カクニン</t>
    </rPh>
    <rPh sb="2" eb="4">
      <t>テイシュツ</t>
    </rPh>
    <phoneticPr fontId="78"/>
  </si>
  <si>
    <t>振替</t>
    <rPh sb="0" eb="2">
      <t>フリカエ</t>
    </rPh>
    <phoneticPr fontId="71"/>
  </si>
  <si>
    <t>スケジュールルール</t>
    <phoneticPr fontId="78"/>
  </si>
  <si>
    <r>
      <t>構造計算</t>
    </r>
    <r>
      <rPr>
        <sz val="10"/>
        <color rgb="FFFF0000"/>
        <rFont val="Meiryo UI"/>
        <family val="3"/>
        <charset val="128"/>
      </rPr>
      <t>※1</t>
    </r>
    <rPh sb="0" eb="2">
      <t>コウゾウ</t>
    </rPh>
    <rPh sb="2" eb="4">
      <t>ケイサン</t>
    </rPh>
    <phoneticPr fontId="71"/>
  </si>
  <si>
    <t>事前なし</t>
    <rPh sb="0" eb="2">
      <t>ジゼン</t>
    </rPh>
    <phoneticPr fontId="78"/>
  </si>
  <si>
    <t>山の日</t>
    <rPh sb="0" eb="1">
      <t>ヤマ</t>
    </rPh>
    <rPh sb="2" eb="3">
      <t>ヒ</t>
    </rPh>
    <phoneticPr fontId="71"/>
  </si>
  <si>
    <t>長期・低炭素</t>
    <rPh sb="0" eb="2">
      <t>チョウキ</t>
    </rPh>
    <rPh sb="3" eb="4">
      <t>テイ</t>
    </rPh>
    <rPh sb="4" eb="6">
      <t>タンソ</t>
    </rPh>
    <phoneticPr fontId="71"/>
  </si>
  <si>
    <t>事前提出日+事前日数</t>
    <rPh sb="0" eb="2">
      <t>ジゼン</t>
    </rPh>
    <rPh sb="2" eb="4">
      <t>テイシュツ</t>
    </rPh>
    <rPh sb="4" eb="5">
      <t>ビ</t>
    </rPh>
    <rPh sb="6" eb="8">
      <t>ジゼン</t>
    </rPh>
    <rPh sb="8" eb="10">
      <t>ニッスウ</t>
    </rPh>
    <phoneticPr fontId="78"/>
  </si>
  <si>
    <t>事前提出</t>
    <rPh sb="0" eb="2">
      <t>ジゼン</t>
    </rPh>
    <rPh sb="2" eb="4">
      <t>テイシュツ</t>
    </rPh>
    <phoneticPr fontId="78"/>
  </si>
  <si>
    <t>事前決裁</t>
    <rPh sb="0" eb="2">
      <t>ジゼン</t>
    </rPh>
    <rPh sb="2" eb="4">
      <t>ケッサイ</t>
    </rPh>
    <phoneticPr fontId="78"/>
  </si>
  <si>
    <t>スポーツの日</t>
    <rPh sb="5" eb="6">
      <t>ヒ</t>
    </rPh>
    <phoneticPr fontId="71"/>
  </si>
  <si>
    <t>日付を手入力することで後工程が連動します。スケジュール調整したい場合は参考にご使用ください。</t>
    <rPh sb="0" eb="2">
      <t>ヒヅケ</t>
    </rPh>
    <rPh sb="3" eb="4">
      <t>テ</t>
    </rPh>
    <rPh sb="4" eb="6">
      <t>ニュウリョク</t>
    </rPh>
    <rPh sb="11" eb="14">
      <t>アトコウテイ</t>
    </rPh>
    <rPh sb="15" eb="17">
      <t>レンドウ</t>
    </rPh>
    <rPh sb="27" eb="29">
      <t>チョウセイ</t>
    </rPh>
    <rPh sb="32" eb="34">
      <t>バアイ</t>
    </rPh>
    <rPh sb="35" eb="37">
      <t>サンコウ</t>
    </rPh>
    <rPh sb="39" eb="41">
      <t>シヨウ</t>
    </rPh>
    <phoneticPr fontId="71"/>
  </si>
  <si>
    <t>地盤改良</t>
    <rPh sb="0" eb="2">
      <t>ジバン</t>
    </rPh>
    <rPh sb="2" eb="4">
      <t>カイリョウ</t>
    </rPh>
    <phoneticPr fontId="71"/>
  </si>
  <si>
    <t>※自動入力</t>
    <rPh sb="1" eb="5">
      <t>ジドウニュウリョク</t>
    </rPh>
    <phoneticPr fontId="38"/>
  </si>
  <si>
    <t>工事種別</t>
    <rPh sb="0" eb="2">
      <t>コウジ</t>
    </rPh>
    <rPh sb="2" eb="4">
      <t>シュベツ</t>
    </rPh>
    <phoneticPr fontId="71"/>
  </si>
  <si>
    <t>土のみ</t>
  </si>
  <si>
    <t>海の日</t>
    <rPh sb="0" eb="1">
      <t>ウミ</t>
    </rPh>
    <rPh sb="2" eb="3">
      <t>ヒ</t>
    </rPh>
    <phoneticPr fontId="71"/>
  </si>
  <si>
    <t>世帯</t>
    <rPh sb="0" eb="2">
      <t>セタイ</t>
    </rPh>
    <phoneticPr fontId="71"/>
  </si>
  <si>
    <t>ブランド</t>
    <phoneticPr fontId="71"/>
  </si>
  <si>
    <t>金のみ</t>
  </si>
  <si>
    <t>こどもの日</t>
    <rPh sb="4" eb="5">
      <t>ヒ</t>
    </rPh>
    <phoneticPr fontId="71"/>
  </si>
  <si>
    <r>
      <t>物件条件やお客様都合を考慮し、あくまで日程の</t>
    </r>
    <r>
      <rPr>
        <sz val="10"/>
        <color rgb="FFFF0000"/>
        <rFont val="Meiryo UI"/>
        <family val="3"/>
        <charset val="128"/>
      </rPr>
      <t>目安に参考</t>
    </r>
    <r>
      <rPr>
        <sz val="10"/>
        <rFont val="Meiryo UI"/>
        <family val="3"/>
        <charset val="128"/>
      </rPr>
      <t>としてお使いください。</t>
    </r>
    <rPh sb="0" eb="2">
      <t>ブッケン</t>
    </rPh>
    <rPh sb="2" eb="4">
      <t>ジョウケン</t>
    </rPh>
    <rPh sb="6" eb="8">
      <t>キャクサマ</t>
    </rPh>
    <rPh sb="8" eb="10">
      <t>ツゴウ</t>
    </rPh>
    <rPh sb="11" eb="13">
      <t>コウリョ</t>
    </rPh>
    <rPh sb="19" eb="21">
      <t>ニッテイ</t>
    </rPh>
    <rPh sb="22" eb="24">
      <t>メヤス</t>
    </rPh>
    <rPh sb="25" eb="27">
      <t>サンコウ</t>
    </rPh>
    <rPh sb="31" eb="32">
      <t>ツカ</t>
    </rPh>
    <phoneticPr fontId="78"/>
  </si>
  <si>
    <t>主要用途</t>
    <rPh sb="0" eb="2">
      <t>シュヨウ</t>
    </rPh>
    <rPh sb="2" eb="4">
      <t>ヨウト</t>
    </rPh>
    <phoneticPr fontId="71"/>
  </si>
  <si>
    <t>階数</t>
    <rPh sb="0" eb="2">
      <t>カイスウ</t>
    </rPh>
    <phoneticPr fontId="71"/>
  </si>
  <si>
    <t>木のみ</t>
  </si>
  <si>
    <t>図確引継日1+14日</t>
    <rPh sb="0" eb="1">
      <t>ズ</t>
    </rPh>
    <rPh sb="1" eb="2">
      <t>カク</t>
    </rPh>
    <rPh sb="2" eb="4">
      <t>ヒキツギ</t>
    </rPh>
    <rPh sb="4" eb="5">
      <t>ビ</t>
    </rPh>
    <rPh sb="9" eb="10">
      <t>ニチ</t>
    </rPh>
    <phoneticPr fontId="78"/>
  </si>
  <si>
    <t>みどりの日</t>
    <rPh sb="4" eb="5">
      <t>ヒ</t>
    </rPh>
    <phoneticPr fontId="71"/>
  </si>
  <si>
    <t>お知らせ看板(練馬)(構造計算)</t>
    <rPh sb="7" eb="9">
      <t>ネリマ</t>
    </rPh>
    <rPh sb="11" eb="13">
      <t>コウゾウ</t>
    </rPh>
    <rPh sb="13" eb="15">
      <t>ケイサン</t>
    </rPh>
    <phoneticPr fontId="71"/>
  </si>
  <si>
    <t>基本入力で「契約日」が空欄で、「設計契約日」が入力されている場合は、設計契約日が基準となります。</t>
    <rPh sb="0" eb="4">
      <t>キホンニュウリョク</t>
    </rPh>
    <rPh sb="6" eb="9">
      <t>ケイヤクビ</t>
    </rPh>
    <rPh sb="11" eb="13">
      <t>クウラン</t>
    </rPh>
    <rPh sb="16" eb="21">
      <t>セッケイケイヤクビ</t>
    </rPh>
    <rPh sb="23" eb="25">
      <t>ニュウリョク</t>
    </rPh>
    <rPh sb="30" eb="32">
      <t>バアイ</t>
    </rPh>
    <rPh sb="34" eb="39">
      <t>セッケイケイヤクビ</t>
    </rPh>
    <rPh sb="40" eb="42">
      <t>キジュン</t>
    </rPh>
    <phoneticPr fontId="78"/>
  </si>
  <si>
    <t>水のみ</t>
  </si>
  <si>
    <t>憲法記念日</t>
    <rPh sb="0" eb="2">
      <t>ケンポウ</t>
    </rPh>
    <rPh sb="2" eb="5">
      <t>キネンビ</t>
    </rPh>
    <phoneticPr fontId="71"/>
  </si>
  <si>
    <t>お知らせ看板</t>
    <phoneticPr fontId="71"/>
  </si>
  <si>
    <r>
      <t>契約から着工までのリードタイムをスケジューリングします。</t>
    </r>
    <r>
      <rPr>
        <sz val="10"/>
        <color rgb="FFFF0000"/>
        <rFont val="Meiryo UI"/>
        <family val="3"/>
        <charset val="128"/>
      </rPr>
      <t>必ず日程が現実的に可能かどうか検討してください。</t>
    </r>
    <rPh sb="0" eb="2">
      <t>ケイヤク</t>
    </rPh>
    <rPh sb="4" eb="6">
      <t>チャッコウ</t>
    </rPh>
    <phoneticPr fontId="78"/>
  </si>
  <si>
    <t>入力すると以降の予定はすべてこの日付を基準に計算されます</t>
    <rPh sb="0" eb="2">
      <t>ニュウリョク</t>
    </rPh>
    <rPh sb="5" eb="7">
      <t>イコウ</t>
    </rPh>
    <rPh sb="8" eb="10">
      <t>ヨテイ</t>
    </rPh>
    <rPh sb="16" eb="18">
      <t>ヒヅケ</t>
    </rPh>
    <rPh sb="19" eb="21">
      <t>キジュン</t>
    </rPh>
    <rPh sb="22" eb="24">
      <t>ケイサン</t>
    </rPh>
    <phoneticPr fontId="38"/>
  </si>
  <si>
    <t>設計契約日 or 契約日</t>
    <rPh sb="0" eb="5">
      <t>セッケイケイヤクビ</t>
    </rPh>
    <rPh sb="9" eb="12">
      <t>ケイヤクビ</t>
    </rPh>
    <phoneticPr fontId="38"/>
  </si>
  <si>
    <t>火のみ</t>
  </si>
  <si>
    <t>他の「事前」を参照</t>
    <rPh sb="0" eb="1">
      <t>タ</t>
    </rPh>
    <rPh sb="3" eb="5">
      <t>ジゼン</t>
    </rPh>
    <rPh sb="7" eb="9">
      <t>サンショウ</t>
    </rPh>
    <phoneticPr fontId="78"/>
  </si>
  <si>
    <t>埋蔵文化 無し</t>
    <rPh sb="0" eb="2">
      <t>マイゾウ</t>
    </rPh>
    <rPh sb="2" eb="4">
      <t>ブンカ</t>
    </rPh>
    <rPh sb="5" eb="6">
      <t>ナ</t>
    </rPh>
    <phoneticPr fontId="78"/>
  </si>
  <si>
    <t>昭和の日</t>
    <rPh sb="0" eb="2">
      <t>ショウワ</t>
    </rPh>
    <rPh sb="3" eb="4">
      <t>ヒ</t>
    </rPh>
    <phoneticPr fontId="71"/>
  </si>
  <si>
    <t>風致</t>
    <rPh sb="0" eb="2">
      <t>フウチ</t>
    </rPh>
    <phoneticPr fontId="71"/>
  </si>
  <si>
    <t>図面確定日</t>
    <rPh sb="0" eb="2">
      <t>ズメン</t>
    </rPh>
    <rPh sb="2" eb="4">
      <t>カクテイ</t>
    </rPh>
    <rPh sb="4" eb="5">
      <t>ビ</t>
    </rPh>
    <phoneticPr fontId="38"/>
  </si>
  <si>
    <t>月のみ</t>
  </si>
  <si>
    <t>埋蔵文化 有り</t>
    <rPh sb="0" eb="2">
      <t>マイゾウ</t>
    </rPh>
    <rPh sb="2" eb="4">
      <t>ブンカ</t>
    </rPh>
    <rPh sb="5" eb="6">
      <t>ア</t>
    </rPh>
    <phoneticPr fontId="78"/>
  </si>
  <si>
    <t>事前提出有無</t>
    <rPh sb="0" eb="2">
      <t>ジゼン</t>
    </rPh>
    <rPh sb="2" eb="4">
      <t>テイシュツ</t>
    </rPh>
    <rPh sb="4" eb="6">
      <t>ウム</t>
    </rPh>
    <phoneticPr fontId="78"/>
  </si>
  <si>
    <t>春分の日</t>
    <rPh sb="0" eb="2">
      <t>シュンブン</t>
    </rPh>
    <rPh sb="3" eb="4">
      <t>ヒ</t>
    </rPh>
    <phoneticPr fontId="71"/>
  </si>
  <si>
    <t>景観条例(構造計算)</t>
    <rPh sb="5" eb="7">
      <t>コウゾウ</t>
    </rPh>
    <rPh sb="7" eb="9">
      <t>ケイサン</t>
    </rPh>
    <phoneticPr fontId="71"/>
  </si>
  <si>
    <t>基本ルール</t>
    <rPh sb="0" eb="2">
      <t>キホン</t>
    </rPh>
    <phoneticPr fontId="71"/>
  </si>
  <si>
    <t>実確定日入力</t>
    <rPh sb="0" eb="1">
      <t>ジツ</t>
    </rPh>
    <rPh sb="1" eb="4">
      <t>カクテイビ</t>
    </rPh>
    <rPh sb="4" eb="6">
      <t>ニュウリョク</t>
    </rPh>
    <phoneticPr fontId="38"/>
  </si>
  <si>
    <t>日のみ</t>
  </si>
  <si>
    <t>契約～着工まで　90日、110日</t>
    <rPh sb="0" eb="2">
      <t>ケイヤク</t>
    </rPh>
    <rPh sb="3" eb="5">
      <t>チャッコウ</t>
    </rPh>
    <rPh sb="10" eb="11">
      <t>ニチ</t>
    </rPh>
    <rPh sb="15" eb="16">
      <t>ニチ</t>
    </rPh>
    <phoneticPr fontId="71"/>
  </si>
  <si>
    <t>76条(区画整理)</t>
  </si>
  <si>
    <t>金と土</t>
  </si>
  <si>
    <t>図確引継日1</t>
    <phoneticPr fontId="78"/>
  </si>
  <si>
    <t>長期・低炭素・性能評価 有り</t>
    <rPh sb="0" eb="2">
      <t>チョウキ</t>
    </rPh>
    <rPh sb="3" eb="6">
      <t>テイタンソ</t>
    </rPh>
    <rPh sb="7" eb="11">
      <t>セイノウヒョウカ</t>
    </rPh>
    <rPh sb="12" eb="13">
      <t>ア</t>
    </rPh>
    <phoneticPr fontId="78"/>
  </si>
  <si>
    <t>天皇誕生日</t>
    <rPh sb="0" eb="2">
      <t>テンノウ</t>
    </rPh>
    <rPh sb="2" eb="5">
      <t>タンジョウビ</t>
    </rPh>
    <phoneticPr fontId="71"/>
  </si>
  <si>
    <t>53条</t>
  </si>
  <si>
    <t>木と金</t>
  </si>
  <si>
    <t>長期・低炭素・性能評価 無し</t>
    <rPh sb="0" eb="2">
      <t>チョウキ</t>
    </rPh>
    <rPh sb="3" eb="6">
      <t>テイタンソ</t>
    </rPh>
    <rPh sb="7" eb="9">
      <t>セイノウ</t>
    </rPh>
    <rPh sb="9" eb="11">
      <t>ヒョウカ</t>
    </rPh>
    <rPh sb="12" eb="13">
      <t>ナ</t>
    </rPh>
    <phoneticPr fontId="78"/>
  </si>
  <si>
    <t>図確引継日2</t>
    <rPh sb="0" eb="1">
      <t>ズ</t>
    </rPh>
    <rPh sb="1" eb="2">
      <t>カク</t>
    </rPh>
    <rPh sb="2" eb="4">
      <t>ヒキツギ</t>
    </rPh>
    <rPh sb="4" eb="5">
      <t>ヒ</t>
    </rPh>
    <phoneticPr fontId="78"/>
  </si>
  <si>
    <t>図面確定～着工まで約60日</t>
    <rPh sb="0" eb="2">
      <t>ズメン</t>
    </rPh>
    <rPh sb="2" eb="4">
      <t>カクテイ</t>
    </rPh>
    <rPh sb="5" eb="7">
      <t>チャッコウ</t>
    </rPh>
    <rPh sb="9" eb="10">
      <t>ヤク</t>
    </rPh>
    <rPh sb="12" eb="13">
      <t>ニチ</t>
    </rPh>
    <phoneticPr fontId="71"/>
  </si>
  <si>
    <t>建国記念日</t>
    <rPh sb="0" eb="2">
      <t>ケンコク</t>
    </rPh>
    <rPh sb="2" eb="5">
      <t>キネンビ</t>
    </rPh>
    <phoneticPr fontId="71"/>
  </si>
  <si>
    <t>地区計画</t>
  </si>
  <si>
    <t>水と木</t>
  </si>
  <si>
    <t>成人の日</t>
    <rPh sb="0" eb="2">
      <t>セイジン</t>
    </rPh>
    <rPh sb="3" eb="4">
      <t>ヒ</t>
    </rPh>
    <phoneticPr fontId="71"/>
  </si>
  <si>
    <t>事前日数</t>
    <rPh sb="0" eb="2">
      <t>ジゼン</t>
    </rPh>
    <rPh sb="2" eb="4">
      <t>ニッスウ</t>
    </rPh>
    <phoneticPr fontId="71"/>
  </si>
  <si>
    <t>火と水</t>
  </si>
  <si>
    <t>図確日</t>
    <rPh sb="0" eb="1">
      <t>ズ</t>
    </rPh>
    <rPh sb="1" eb="2">
      <t>カク</t>
    </rPh>
    <rPh sb="2" eb="3">
      <t>ビ</t>
    </rPh>
    <phoneticPr fontId="78"/>
  </si>
  <si>
    <t>狭あい 無し</t>
    <rPh sb="0" eb="1">
      <t>キョウ</t>
    </rPh>
    <rPh sb="4" eb="5">
      <t>ナ</t>
    </rPh>
    <phoneticPr fontId="78"/>
  </si>
  <si>
    <t>50坪以上</t>
    <rPh sb="2" eb="3">
      <t>ツボ</t>
    </rPh>
    <rPh sb="3" eb="5">
      <t>イジョウ</t>
    </rPh>
    <phoneticPr fontId="71"/>
  </si>
  <si>
    <t>月と火</t>
  </si>
  <si>
    <t>狭あい 有り</t>
    <rPh sb="0" eb="1">
      <t>キョウ</t>
    </rPh>
    <rPh sb="4" eb="5">
      <t>ア</t>
    </rPh>
    <phoneticPr fontId="78"/>
  </si>
  <si>
    <t>図確引継日1</t>
    <rPh sb="0" eb="1">
      <t>ズ</t>
    </rPh>
    <rPh sb="1" eb="2">
      <t>カク</t>
    </rPh>
    <rPh sb="2" eb="4">
      <t>ヒキツギ</t>
    </rPh>
    <rPh sb="4" eb="5">
      <t>ヒ</t>
    </rPh>
    <phoneticPr fontId="78"/>
  </si>
  <si>
    <t>二世帯</t>
    <rPh sb="0" eb="3">
      <t>ニセタイ</t>
    </rPh>
    <phoneticPr fontId="71"/>
  </si>
  <si>
    <t>図確日</t>
    <rPh sb="0" eb="1">
      <t>ズ</t>
    </rPh>
    <rPh sb="1" eb="2">
      <t>カク</t>
    </rPh>
    <rPh sb="2" eb="3">
      <t>ヒ</t>
    </rPh>
    <phoneticPr fontId="71"/>
  </si>
  <si>
    <t>図確～着工</t>
    <rPh sb="0" eb="1">
      <t>ズ</t>
    </rPh>
    <rPh sb="1" eb="2">
      <t>カク</t>
    </rPh>
    <rPh sb="3" eb="5">
      <t>チャッコウ</t>
    </rPh>
    <phoneticPr fontId="71"/>
  </si>
  <si>
    <t>実</t>
    <rPh sb="0" eb="1">
      <t>ミ</t>
    </rPh>
    <phoneticPr fontId="71"/>
  </si>
  <si>
    <t>日と月</t>
  </si>
  <si>
    <t>50日</t>
    <rPh sb="2" eb="3">
      <t>ニチ</t>
    </rPh>
    <phoneticPr fontId="71"/>
  </si>
  <si>
    <t>3階建て</t>
    <rPh sb="1" eb="2">
      <t>カイ</t>
    </rPh>
    <rPh sb="2" eb="3">
      <t>ダ</t>
    </rPh>
    <phoneticPr fontId="71"/>
  </si>
  <si>
    <t>から残り</t>
    <rPh sb="2" eb="3">
      <t>ノコ</t>
    </rPh>
    <phoneticPr fontId="71"/>
  </si>
  <si>
    <t>契約日</t>
    <rPh sb="0" eb="3">
      <t>ケイヤクビ</t>
    </rPh>
    <phoneticPr fontId="71"/>
  </si>
  <si>
    <t>土と日</t>
  </si>
  <si>
    <t>契約日</t>
    <rPh sb="0" eb="3">
      <t>ケイヤクビ</t>
    </rPh>
    <phoneticPr fontId="78"/>
  </si>
  <si>
    <t>30日</t>
    <rPh sb="2" eb="3">
      <t>ニチ</t>
    </rPh>
    <phoneticPr fontId="71"/>
  </si>
  <si>
    <t>2階建て単世帯　</t>
    <rPh sb="1" eb="2">
      <t>カイ</t>
    </rPh>
    <rPh sb="2" eb="3">
      <t>ダ</t>
    </rPh>
    <rPh sb="4" eb="5">
      <t>タン</t>
    </rPh>
    <rPh sb="5" eb="7">
      <t>セタイ</t>
    </rPh>
    <phoneticPr fontId="71"/>
  </si>
  <si>
    <t>～</t>
    <phoneticPr fontId="71"/>
  </si>
  <si>
    <t>内容</t>
    <rPh sb="0" eb="2">
      <t>ナイヨウ</t>
    </rPh>
    <phoneticPr fontId="78"/>
  </si>
  <si>
    <t>図確用日程</t>
    <phoneticPr fontId="85"/>
  </si>
  <si>
    <t>内容</t>
    <rPh sb="0" eb="2">
      <t>ナイヨウ</t>
    </rPh>
    <phoneticPr fontId="38"/>
  </si>
  <si>
    <t>祝日</t>
    <rPh sb="0" eb="2">
      <t>シュクジツ</t>
    </rPh>
    <phoneticPr fontId="38"/>
  </si>
  <si>
    <t>フラグ</t>
    <phoneticPr fontId="38"/>
  </si>
  <si>
    <t>休日</t>
    <rPh sb="0" eb="2">
      <t>キュウジツ</t>
    </rPh>
    <phoneticPr fontId="38"/>
  </si>
  <si>
    <t>契約～図面確定まで最短リードタイム目標</t>
    <rPh sb="0" eb="2">
      <t>ケイヤク</t>
    </rPh>
    <rPh sb="3" eb="5">
      <t>ズメン</t>
    </rPh>
    <rPh sb="5" eb="7">
      <t>カクテイ</t>
    </rPh>
    <rPh sb="9" eb="11">
      <t>サイタン</t>
    </rPh>
    <rPh sb="17" eb="19">
      <t>モクヒョウ</t>
    </rPh>
    <phoneticPr fontId="71"/>
  </si>
  <si>
    <t>契約～図確</t>
    <rPh sb="0" eb="2">
      <t>ケイヤク</t>
    </rPh>
    <rPh sb="3" eb="4">
      <t>ズ</t>
    </rPh>
    <rPh sb="4" eb="5">
      <t>カク</t>
    </rPh>
    <phoneticPr fontId="71"/>
  </si>
  <si>
    <t>予</t>
    <rPh sb="0" eb="1">
      <t>ヨ</t>
    </rPh>
    <phoneticPr fontId="71"/>
  </si>
  <si>
    <t>図面確定用日程（年末年始・お盆以外）</t>
  </si>
  <si>
    <t>2032年まで入力済み</t>
    <rPh sb="4" eb="5">
      <t>ネン</t>
    </rPh>
    <rPh sb="7" eb="9">
      <t>ニュウリョク</t>
    </rPh>
    <rPh sb="9" eb="10">
      <t>ズ</t>
    </rPh>
    <phoneticPr fontId="85"/>
  </si>
  <si>
    <t>祝日</t>
    <rPh sb="0" eb="2">
      <t>シュクジツ</t>
    </rPh>
    <phoneticPr fontId="78"/>
  </si>
  <si>
    <t>休日</t>
    <rPh sb="0" eb="2">
      <t>キュウジツ</t>
    </rPh>
    <phoneticPr fontId="78"/>
  </si>
  <si>
    <t>日数</t>
    <rPh sb="0" eb="2">
      <t>ニッスウ</t>
    </rPh>
    <phoneticPr fontId="78"/>
  </si>
  <si>
    <t>基数</t>
    <rPh sb="0" eb="2">
      <t>キスウ</t>
    </rPh>
    <phoneticPr fontId="78"/>
  </si>
  <si>
    <t>条件4</t>
    <rPh sb="0" eb="2">
      <t>ジョウケン</t>
    </rPh>
    <phoneticPr fontId="78"/>
  </si>
  <si>
    <t>条件3</t>
    <rPh sb="0" eb="2">
      <t>ジョウケン</t>
    </rPh>
    <phoneticPr fontId="78"/>
  </si>
  <si>
    <t>条件2</t>
    <rPh sb="0" eb="2">
      <t>ジョウケン</t>
    </rPh>
    <phoneticPr fontId="78"/>
  </si>
  <si>
    <t>条件1</t>
    <rPh sb="0" eb="2">
      <t>ジョウケン</t>
    </rPh>
    <phoneticPr fontId="78"/>
  </si>
  <si>
    <t>項目</t>
    <rPh sb="0" eb="2">
      <t>コウモク</t>
    </rPh>
    <phoneticPr fontId="78"/>
  </si>
  <si>
    <t>2021  祝日</t>
    <phoneticPr fontId="71"/>
  </si>
  <si>
    <t>着手</t>
    <rPh sb="0" eb="2">
      <t>チャクシュ</t>
    </rPh>
    <phoneticPr fontId="71"/>
  </si>
  <si>
    <t>登録</t>
    <rPh sb="0" eb="2">
      <t>トウロク</t>
    </rPh>
    <phoneticPr fontId="71"/>
  </si>
  <si>
    <t>調査</t>
    <rPh sb="0" eb="2">
      <t>チョウサ</t>
    </rPh>
    <phoneticPr fontId="71"/>
  </si>
  <si>
    <t>完了</t>
    <rPh sb="0" eb="2">
      <t>カンリョウ</t>
    </rPh>
    <phoneticPr fontId="71"/>
  </si>
  <si>
    <t>14日前</t>
    <rPh sb="2" eb="3">
      <t>ニチ</t>
    </rPh>
    <rPh sb="3" eb="4">
      <t>マエ</t>
    </rPh>
    <phoneticPr fontId="71"/>
  </si>
  <si>
    <t>承認図前</t>
    <rPh sb="0" eb="2">
      <t>ショウニン</t>
    </rPh>
    <rPh sb="2" eb="3">
      <t>ズ</t>
    </rPh>
    <rPh sb="3" eb="4">
      <t>マエ</t>
    </rPh>
    <phoneticPr fontId="71"/>
  </si>
  <si>
    <t>チェック</t>
    <phoneticPr fontId="71"/>
  </si>
  <si>
    <t>決裁</t>
    <rPh sb="0" eb="2">
      <t>ケッサイ</t>
    </rPh>
    <phoneticPr fontId="71"/>
  </si>
  <si>
    <t>提出</t>
    <rPh sb="0" eb="2">
      <t>テイシュツ</t>
    </rPh>
    <phoneticPr fontId="71"/>
  </si>
  <si>
    <t>引き継</t>
    <rPh sb="0" eb="1">
      <t>ヒ</t>
    </rPh>
    <rPh sb="2" eb="3">
      <t>ツギ</t>
    </rPh>
    <phoneticPr fontId="71"/>
  </si>
  <si>
    <t>有無</t>
    <rPh sb="0" eb="2">
      <t>ウム</t>
    </rPh>
    <phoneticPr fontId="71"/>
  </si>
  <si>
    <t>契約工期</t>
    <rPh sb="0" eb="2">
      <t>ケイヤク</t>
    </rPh>
    <rPh sb="2" eb="4">
      <t>コウキ</t>
    </rPh>
    <phoneticPr fontId="71"/>
  </si>
  <si>
    <t>監督</t>
    <rPh sb="0" eb="2">
      <t>カントク</t>
    </rPh>
    <phoneticPr fontId="71"/>
  </si>
  <si>
    <t>営業</t>
    <rPh sb="0" eb="2">
      <t>エイギョウ</t>
    </rPh>
    <phoneticPr fontId="71"/>
  </si>
  <si>
    <t>建上地</t>
    <rPh sb="0" eb="2">
      <t>ケンジョウ</t>
    </rPh>
    <rPh sb="2" eb="3">
      <t>チ</t>
    </rPh>
    <phoneticPr fontId="71"/>
  </si>
  <si>
    <t>着工予定日</t>
    <rPh sb="0" eb="2">
      <t>チャッコウ</t>
    </rPh>
    <rPh sb="2" eb="5">
      <t>ヨテイビ</t>
    </rPh>
    <phoneticPr fontId="71"/>
  </si>
  <si>
    <t>保険</t>
    <rPh sb="0" eb="2">
      <t>ホケン</t>
    </rPh>
    <phoneticPr fontId="71"/>
  </si>
  <si>
    <t>地耐力</t>
    <rPh sb="0" eb="1">
      <t>チ</t>
    </rPh>
    <rPh sb="1" eb="2">
      <t>タ</t>
    </rPh>
    <rPh sb="2" eb="3">
      <t>チカラ</t>
    </rPh>
    <phoneticPr fontId="71"/>
  </si>
  <si>
    <t>解体工事</t>
    <rPh sb="0" eb="2">
      <t>カイタイ</t>
    </rPh>
    <rPh sb="2" eb="4">
      <t>コウジ</t>
    </rPh>
    <phoneticPr fontId="71"/>
  </si>
  <si>
    <t>承認図</t>
    <rPh sb="0" eb="2">
      <t>ショウニン</t>
    </rPh>
    <rPh sb="2" eb="3">
      <t>ズ</t>
    </rPh>
    <phoneticPr fontId="71"/>
  </si>
  <si>
    <t>４者</t>
    <rPh sb="1" eb="2">
      <t>シャ</t>
    </rPh>
    <phoneticPr fontId="71"/>
  </si>
  <si>
    <t>仕様打</t>
    <rPh sb="0" eb="2">
      <t>シヨウ</t>
    </rPh>
    <rPh sb="2" eb="3">
      <t>ウ</t>
    </rPh>
    <phoneticPr fontId="71"/>
  </si>
  <si>
    <t>伏図</t>
    <rPh sb="0" eb="2">
      <t>フセズ</t>
    </rPh>
    <phoneticPr fontId="71"/>
  </si>
  <si>
    <t>確認</t>
    <rPh sb="0" eb="2">
      <t>カクニン</t>
    </rPh>
    <phoneticPr fontId="71"/>
  </si>
  <si>
    <t>事前</t>
    <rPh sb="0" eb="2">
      <t>ジゼン</t>
    </rPh>
    <phoneticPr fontId="71"/>
  </si>
  <si>
    <t>図確</t>
    <rPh sb="0" eb="1">
      <t>ズ</t>
    </rPh>
    <rPh sb="1" eb="2">
      <t>カク</t>
    </rPh>
    <phoneticPr fontId="71"/>
  </si>
  <si>
    <t>構造計算</t>
    <rPh sb="0" eb="2">
      <t>コウゾウ</t>
    </rPh>
    <rPh sb="2" eb="4">
      <t>ケイサン</t>
    </rPh>
    <phoneticPr fontId="71"/>
  </si>
  <si>
    <t>坪数</t>
    <rPh sb="0" eb="2">
      <t>ツボスウ</t>
    </rPh>
    <phoneticPr fontId="71"/>
  </si>
  <si>
    <t>契約金額</t>
    <rPh sb="0" eb="2">
      <t>ケイヤク</t>
    </rPh>
    <rPh sb="2" eb="4">
      <t>キンガク</t>
    </rPh>
    <phoneticPr fontId="71"/>
  </si>
  <si>
    <t>施主名</t>
    <rPh sb="0" eb="2">
      <t>セシュ</t>
    </rPh>
    <rPh sb="2" eb="3">
      <t>メイ</t>
    </rPh>
    <phoneticPr fontId="71"/>
  </si>
  <si>
    <t>契約～着工</t>
    <rPh sb="0" eb="2">
      <t>ケイヤク</t>
    </rPh>
    <rPh sb="3" eb="5">
      <t>チャッコウ</t>
    </rPh>
    <phoneticPr fontId="71"/>
  </si>
  <si>
    <t>設計</t>
    <rPh sb="0" eb="2">
      <t>セッケイ</t>
    </rPh>
    <phoneticPr fontId="71"/>
  </si>
  <si>
    <t>設計（確認）</t>
    <phoneticPr fontId="71"/>
  </si>
  <si>
    <t>IC</t>
    <phoneticPr fontId="71"/>
  </si>
  <si>
    <t>設計（確認）</t>
    <rPh sb="0" eb="2">
      <t>セッケイ</t>
    </rPh>
    <rPh sb="3" eb="5">
      <t>カクニン</t>
    </rPh>
    <phoneticPr fontId="71"/>
  </si>
  <si>
    <t>契約～着工　リードタイム算定</t>
    <rPh sb="0" eb="2">
      <t>ケイヤク</t>
    </rPh>
    <rPh sb="3" eb="5">
      <t>チャッコウ</t>
    </rPh>
    <rPh sb="12" eb="14">
      <t>サンテイ</t>
    </rPh>
    <phoneticPr fontId="71"/>
  </si>
  <si>
    <t>※本書の仕様に関する問い合わせは川名専務まで</t>
    <rPh sb="1" eb="3">
      <t>ホンショ</t>
    </rPh>
    <rPh sb="4" eb="6">
      <t>シヨウ</t>
    </rPh>
    <rPh sb="7" eb="8">
      <t>カン</t>
    </rPh>
    <rPh sb="10" eb="11">
      <t>ト</t>
    </rPh>
    <rPh sb="12" eb="13">
      <t>ア</t>
    </rPh>
    <rPh sb="16" eb="18">
      <t>カワナ</t>
    </rPh>
    <rPh sb="18" eb="20">
      <t>センム</t>
    </rPh>
    <phoneticPr fontId="1"/>
  </si>
  <si>
    <t>2023/03/10 改定</t>
    <rPh sb="11" eb="13">
      <t>カイテイ</t>
    </rPh>
    <phoneticPr fontId="1"/>
  </si>
  <si>
    <t>工期計算 Ver2023-03-10</t>
    <rPh sb="0" eb="4">
      <t>コウキケイサン</t>
    </rPh>
    <phoneticPr fontId="1"/>
  </si>
  <si>
    <t>日</t>
    <rPh sb="0" eb="1">
      <t>ニチ</t>
    </rPh>
    <phoneticPr fontId="1"/>
  </si>
  <si>
    <t>C</t>
    <phoneticPr fontId="1"/>
  </si>
  <si>
    <t>特殊項目 追加日数</t>
    <rPh sb="0" eb="4">
      <t>トクシュコウモク</t>
    </rPh>
    <rPh sb="5" eb="7">
      <t>ツイカ</t>
    </rPh>
    <rPh sb="7" eb="9">
      <t>ニッスウ</t>
    </rPh>
    <phoneticPr fontId="1"/>
  </si>
  <si>
    <t>階段が4基以上ある場合は入力(例)5基ある場合は2と入力</t>
  </si>
  <si>
    <t>1基/2日  4基めより</t>
  </si>
  <si>
    <t>基</t>
    <rPh sb="0" eb="1">
      <t>キ</t>
    </rPh>
    <phoneticPr fontId="1"/>
  </si>
  <si>
    <t>階段4基以上</t>
  </si>
  <si>
    <t>(例)1.5坪でも繰上て2坪と入力して下さい。</t>
  </si>
  <si>
    <t>坪/0.7日</t>
  </si>
  <si>
    <t>坪</t>
  </si>
  <si>
    <t>中二階+リビング床下げ</t>
  </si>
  <si>
    <t>小上がり和室や洋室がありかつ収納がついている場合</t>
  </si>
  <si>
    <t>1ヶ所/2日</t>
  </si>
  <si>
    <t>ヶ所</t>
  </si>
  <si>
    <t>小上がり収納付き(収納2個)</t>
  </si>
  <si>
    <t>小上がり和室や洋室がある場合 1と入力</t>
  </si>
  <si>
    <t>1ヶ所/1日</t>
  </si>
  <si>
    <t>小上がり施工(床上げ含む)</t>
  </si>
  <si>
    <t>床暖房がある場合、1フロアにつき1と入力</t>
  </si>
  <si>
    <t>1フロアー/1日</t>
  </si>
  <si>
    <t>層</t>
  </si>
  <si>
    <t>床暖房</t>
  </si>
  <si>
    <t>掘りごたつがある場合、ヶ所数で入力</t>
  </si>
  <si>
    <t>ヶ所/1日</t>
  </si>
  <si>
    <t>掘りごたつ</t>
  </si>
  <si>
    <t>床柱がある場合</t>
  </si>
  <si>
    <t>1本/1日(客だし20万以上高価なものは工務相談)</t>
  </si>
  <si>
    <t>本</t>
  </si>
  <si>
    <t>床柱</t>
  </si>
  <si>
    <t>和室(洋風でも)床の間や仏間またはそれ風の設計の場合1と入力</t>
  </si>
  <si>
    <t>各箇所/1日</t>
  </si>
  <si>
    <t>和室(床の間、仏間)</t>
  </si>
  <si>
    <t>壁か天井に板を張る場合(例)6帖の部屋は12Pで入力</t>
  </si>
  <si>
    <t>10P/1日</t>
  </si>
  <si>
    <t>P</t>
  </si>
  <si>
    <t>羽目板造作(天井・壁)</t>
  </si>
  <si>
    <t>R下がり壁や複雑な天井形態時入力</t>
  </si>
  <si>
    <t>1ヶ所/1日</t>
    <phoneticPr fontId="38"/>
  </si>
  <si>
    <t>特殊天井造作</t>
  </si>
  <si>
    <t>コーブ照明・コーニス照明が取付く下がり天井のP数を入力</t>
  </si>
  <si>
    <t>1P/0.2日（5P/1日）</t>
    <rPh sb="11" eb="13">
      <t>イチニチ</t>
    </rPh>
    <phoneticPr fontId="38"/>
  </si>
  <si>
    <t>間接照明天井造作</t>
  </si>
  <si>
    <t>7か14か21と7の倍数で入力(例)エコカラット9Pは14で入力</t>
  </si>
  <si>
    <t>7P/0.7日   7の倍数で入力</t>
    <phoneticPr fontId="38"/>
  </si>
  <si>
    <t>内部タイル張り(床・壁)エコカラット含む</t>
  </si>
  <si>
    <t>鉄骨階段2機まで 1と入力</t>
  </si>
  <si>
    <t>クロス後施工、内部簡易足場等作業性悪い</t>
  </si>
  <si>
    <t>式</t>
  </si>
  <si>
    <t>鉄骨階段</t>
  </si>
  <si>
    <t>内部仕様</t>
    <phoneticPr fontId="1"/>
  </si>
  <si>
    <t>車1台で1と入力、車2台で2と入力</t>
  </si>
  <si>
    <t>1台分あたり/1日</t>
  </si>
  <si>
    <t>台</t>
  </si>
  <si>
    <t>インナーガレージ(シャッター付)</t>
  </si>
  <si>
    <t>外断熱ある場合 1と入力</t>
  </si>
  <si>
    <t>サッシ周りふかし、断熱張り、紙張り、配線等</t>
  </si>
  <si>
    <t>外断熱</t>
  </si>
  <si>
    <t>+14日</t>
    <rPh sb="3" eb="4">
      <t>ニチ</t>
    </rPh>
    <phoneticPr fontId="38"/>
  </si>
  <si>
    <t>塔谷と屋上の合計P数入力</t>
  </si>
  <si>
    <t>塔屋+屋上 坪数/1日</t>
  </si>
  <si>
    <t>屋上(金属防水時)</t>
  </si>
  <si>
    <t>+13日</t>
    <rPh sb="3" eb="4">
      <t>ニチ</t>
    </rPh>
    <phoneticPr fontId="38"/>
  </si>
  <si>
    <t>床暖ありは1を入力</t>
  </si>
  <si>
    <t>1日 床暖房の有無による</t>
    <phoneticPr fontId="38"/>
  </si>
  <si>
    <t>シャオンQ</t>
  </si>
  <si>
    <t>構造関連</t>
    <phoneticPr fontId="38"/>
  </si>
  <si>
    <t>+12日</t>
    <rPh sb="3" eb="4">
      <t>ニチ</t>
    </rPh>
    <phoneticPr fontId="38"/>
  </si>
  <si>
    <t>備考</t>
    <rPh sb="0" eb="2">
      <t>ビコウ</t>
    </rPh>
    <phoneticPr fontId="1"/>
  </si>
  <si>
    <t>日数</t>
    <rPh sb="0" eb="2">
      <t>ニッスウ</t>
    </rPh>
    <phoneticPr fontId="1"/>
  </si>
  <si>
    <t>基数</t>
    <rPh sb="0" eb="2">
      <t>キスウ</t>
    </rPh>
    <phoneticPr fontId="1"/>
  </si>
  <si>
    <t>数量</t>
    <rPh sb="0" eb="2">
      <t>スウリョウ</t>
    </rPh>
    <phoneticPr fontId="1"/>
  </si>
  <si>
    <t>▼工期に関わる特殊項目</t>
    <rPh sb="1" eb="3">
      <t>コウキ</t>
    </rPh>
    <rPh sb="4" eb="5">
      <t>カカ</t>
    </rPh>
    <rPh sb="7" eb="11">
      <t>トクシュコウモク</t>
    </rPh>
    <phoneticPr fontId="1"/>
  </si>
  <si>
    <t>+11日</t>
    <rPh sb="3" eb="4">
      <t>ニチ</t>
    </rPh>
    <phoneticPr fontId="38"/>
  </si>
  <si>
    <t>+10日</t>
    <rPh sb="3" eb="4">
      <t>ニチ</t>
    </rPh>
    <phoneticPr fontId="38"/>
  </si>
  <si>
    <t>B</t>
    <phoneticPr fontId="1"/>
  </si>
  <si>
    <t>追加計算合計</t>
    <phoneticPr fontId="1"/>
  </si>
  <si>
    <t>+9日</t>
    <rPh sb="2" eb="3">
      <t>ニチ</t>
    </rPh>
    <phoneticPr fontId="38"/>
  </si>
  <si>
    <r>
      <t>※着工日</t>
    </r>
    <r>
      <rPr>
        <b/>
        <sz val="8"/>
        <color rgb="FFFF0000"/>
        <rFont val="Meiryo UI"/>
        <family val="3"/>
        <charset val="128"/>
      </rPr>
      <t>+D</t>
    </r>
    <r>
      <rPr>
        <b/>
        <sz val="8"/>
        <color rgb="FF00B050"/>
        <rFont val="Meiryo UI"/>
        <family val="3"/>
        <charset val="128"/>
      </rPr>
      <t>+調整日1+調整日2</t>
    </r>
    <rPh sb="1" eb="4">
      <t>チャッコウビ</t>
    </rPh>
    <rPh sb="7" eb="9">
      <t>チョウセイ</t>
    </rPh>
    <rPh sb="9" eb="10">
      <t>ビ</t>
    </rPh>
    <phoneticPr fontId="1"/>
  </si>
  <si>
    <t>フラット35S利用</t>
  </si>
  <si>
    <t>+8日</t>
    <rPh sb="2" eb="3">
      <t>ニチ</t>
    </rPh>
    <phoneticPr fontId="38"/>
  </si>
  <si>
    <t>ネオマ物件</t>
    <rPh sb="3" eb="5">
      <t>ブッケン</t>
    </rPh>
    <phoneticPr fontId="3"/>
  </si>
  <si>
    <t>+7日</t>
    <rPh sb="2" eb="3">
      <t>ニチ</t>
    </rPh>
    <phoneticPr fontId="38"/>
  </si>
  <si>
    <t>引渡日</t>
    <phoneticPr fontId="1"/>
  </si>
  <si>
    <t>坪</t>
    <rPh sb="0" eb="1">
      <t>ツボ</t>
    </rPh>
    <phoneticPr fontId="1"/>
  </si>
  <si>
    <t>その他（1坪あたり）</t>
    <rPh sb="2" eb="3">
      <t>タ</t>
    </rPh>
    <phoneticPr fontId="3"/>
  </si>
  <si>
    <t>+6日</t>
    <rPh sb="2" eb="3">
      <t>ニチ</t>
    </rPh>
    <phoneticPr fontId="38"/>
  </si>
  <si>
    <t>日</t>
    <rPh sb="0" eb="1">
      <t>ニチ</t>
    </rPh>
    <phoneticPr fontId="38"/>
  </si>
  <si>
    <t>調整日2</t>
    <rPh sb="0" eb="2">
      <t>チョウセイ</t>
    </rPh>
    <rPh sb="2" eb="3">
      <t>ビ</t>
    </rPh>
    <phoneticPr fontId="38"/>
  </si>
  <si>
    <t>小屋裏（1坪あたり）</t>
    <rPh sb="0" eb="3">
      <t>コヤウラ</t>
    </rPh>
    <rPh sb="5" eb="6">
      <t>ツボ</t>
    </rPh>
    <phoneticPr fontId="3"/>
  </si>
  <si>
    <t>+5日</t>
    <rPh sb="2" eb="3">
      <t>ニチ</t>
    </rPh>
    <phoneticPr fontId="38"/>
  </si>
  <si>
    <r>
      <t>※着工日+30日</t>
    </r>
    <r>
      <rPr>
        <b/>
        <sz val="8"/>
        <color rgb="FF00B050"/>
        <rFont val="Meiryo UI"/>
        <family val="3"/>
        <charset val="128"/>
      </rPr>
      <t>+調整日1</t>
    </r>
    <rPh sb="1" eb="4">
      <t>チャッコウビ</t>
    </rPh>
    <rPh sb="7" eb="8">
      <t>ニチ</t>
    </rPh>
    <rPh sb="9" eb="11">
      <t>チョウセイ</t>
    </rPh>
    <rPh sb="11" eb="12">
      <t>ビ</t>
    </rPh>
    <phoneticPr fontId="1"/>
  </si>
  <si>
    <t>部屋</t>
    <rPh sb="0" eb="2">
      <t>ヘヤ</t>
    </rPh>
    <phoneticPr fontId="1"/>
  </si>
  <si>
    <t>勾配天井（1部屋）</t>
    <rPh sb="0" eb="2">
      <t>コウバイ</t>
    </rPh>
    <rPh sb="2" eb="4">
      <t>テンジョウ</t>
    </rPh>
    <rPh sb="6" eb="8">
      <t>ヘヤ</t>
    </rPh>
    <phoneticPr fontId="3"/>
  </si>
  <si>
    <t>+4日</t>
    <rPh sb="2" eb="3">
      <t>ニチ</t>
    </rPh>
    <phoneticPr fontId="38"/>
  </si>
  <si>
    <t>3階建て</t>
    <rPh sb="1" eb="2">
      <t>カイ</t>
    </rPh>
    <rPh sb="2" eb="3">
      <t>タ</t>
    </rPh>
    <phoneticPr fontId="3"/>
  </si>
  <si>
    <t>+3日</t>
    <rPh sb="2" eb="3">
      <t>ニチ</t>
    </rPh>
    <phoneticPr fontId="38"/>
  </si>
  <si>
    <t>上棟日</t>
    <rPh sb="0" eb="3">
      <t>ジョウトウビ</t>
    </rPh>
    <phoneticPr fontId="1"/>
  </si>
  <si>
    <t>2世帯</t>
    <rPh sb="1" eb="3">
      <t>セタイ</t>
    </rPh>
    <phoneticPr fontId="3"/>
  </si>
  <si>
    <t>+2日</t>
    <rPh sb="2" eb="3">
      <t>ニチ</t>
    </rPh>
    <phoneticPr fontId="38"/>
  </si>
  <si>
    <t>調整日1</t>
    <rPh sb="0" eb="2">
      <t>チョウセイ</t>
    </rPh>
    <rPh sb="2" eb="3">
      <t>ビ</t>
    </rPh>
    <phoneticPr fontId="38"/>
  </si>
  <si>
    <t>月</t>
  </si>
  <si>
    <r>
      <t>50坪以下で</t>
    </r>
    <r>
      <rPr>
        <b/>
        <u/>
        <sz val="10"/>
        <rFont val="Meiryo UI"/>
        <family val="3"/>
        <charset val="128"/>
      </rPr>
      <t>外壁タイル</t>
    </r>
    <rPh sb="2" eb="3">
      <t>ツボ</t>
    </rPh>
    <rPh sb="3" eb="5">
      <t>イカ</t>
    </rPh>
    <rPh sb="6" eb="8">
      <t>ガイヘキ</t>
    </rPh>
    <phoneticPr fontId="38"/>
  </si>
  <si>
    <t>+1日</t>
    <rPh sb="2" eb="3">
      <t>ニチ</t>
    </rPh>
    <phoneticPr fontId="38"/>
  </si>
  <si>
    <t>※マスターシートより転記</t>
    <rPh sb="10" eb="12">
      <t>テンキ</t>
    </rPh>
    <phoneticPr fontId="1"/>
  </si>
  <si>
    <t>深基礎有り：1000以上</t>
    <rPh sb="0" eb="1">
      <t>フカ</t>
    </rPh>
    <rPh sb="1" eb="3">
      <t>キソ</t>
    </rPh>
    <rPh sb="3" eb="4">
      <t>ア</t>
    </rPh>
    <rPh sb="10" eb="12">
      <t>イジョウ</t>
    </rPh>
    <phoneticPr fontId="3"/>
  </si>
  <si>
    <t>+0日</t>
    <rPh sb="2" eb="3">
      <t>ニチ</t>
    </rPh>
    <phoneticPr fontId="38"/>
  </si>
  <si>
    <t>深基礎有り：1000未満</t>
    <rPh sb="0" eb="1">
      <t>フカ</t>
    </rPh>
    <rPh sb="1" eb="3">
      <t>キソ</t>
    </rPh>
    <rPh sb="3" eb="4">
      <t>ア</t>
    </rPh>
    <rPh sb="10" eb="12">
      <t>ミマン</t>
    </rPh>
    <phoneticPr fontId="3"/>
  </si>
  <si>
    <t>引渡日の参考日</t>
    <rPh sb="4" eb="6">
      <t>サンコウ</t>
    </rPh>
    <rPh sb="6" eb="7">
      <t>ビ</t>
    </rPh>
    <phoneticPr fontId="38"/>
  </si>
  <si>
    <t>上棟日の参考日</t>
    <rPh sb="0" eb="3">
      <t>ジョウトウビ</t>
    </rPh>
    <rPh sb="4" eb="6">
      <t>サンコウ</t>
    </rPh>
    <rPh sb="6" eb="7">
      <t>ビ</t>
    </rPh>
    <phoneticPr fontId="38"/>
  </si>
  <si>
    <t>着工日</t>
    <rPh sb="0" eb="3">
      <t>チャッコウビ</t>
    </rPh>
    <phoneticPr fontId="1"/>
  </si>
  <si>
    <t>GW</t>
  </si>
  <si>
    <t>※1日未満は切り上げ</t>
    <rPh sb="2" eb="5">
      <t>ニチミマン</t>
    </rPh>
    <rPh sb="6" eb="7">
      <t>キ</t>
    </rPh>
    <rPh sb="8" eb="9">
      <t>ア</t>
    </rPh>
    <phoneticPr fontId="1"/>
  </si>
  <si>
    <t>お盆</t>
    <rPh sb="1" eb="2">
      <t>ボン</t>
    </rPh>
    <phoneticPr fontId="3"/>
  </si>
  <si>
    <t>年末年始</t>
    <rPh sb="0" eb="2">
      <t>ネンマツ</t>
    </rPh>
    <rPh sb="2" eb="4">
      <t>ネンシ</t>
    </rPh>
    <phoneticPr fontId="3"/>
  </si>
  <si>
    <t>D</t>
    <phoneticPr fontId="1"/>
  </si>
  <si>
    <r>
      <t>合計工期</t>
    </r>
    <r>
      <rPr>
        <b/>
        <sz val="12"/>
        <color rgb="FFFF0000"/>
        <rFont val="Meiryo UI"/>
        <family val="3"/>
        <charset val="128"/>
      </rPr>
      <t xml:space="preserve">
A+B+C</t>
    </r>
    <rPh sb="0" eb="2">
      <t>ゴウケイ</t>
    </rPh>
    <rPh sb="2" eb="4">
      <t>コウキ</t>
    </rPh>
    <phoneticPr fontId="1"/>
  </si>
  <si>
    <t>有:1</t>
    <rPh sb="0" eb="1">
      <t>アリ</t>
    </rPh>
    <phoneticPr fontId="1"/>
  </si>
  <si>
    <t>▼追加判定項目</t>
    <rPh sb="1" eb="7">
      <t>ツイカハンテイコウモク</t>
    </rPh>
    <phoneticPr fontId="1"/>
  </si>
  <si>
    <t>A</t>
    <phoneticPr fontId="1"/>
  </si>
  <si>
    <t>判定基本工期</t>
    <phoneticPr fontId="1"/>
  </si>
  <si>
    <t>建築面積(坪)</t>
    <phoneticPr fontId="1"/>
  </si>
  <si>
    <t>計算後日数</t>
    <rPh sb="0" eb="2">
      <t>ケイサン</t>
    </rPh>
    <rPh sb="2" eb="3">
      <t>ゴ</t>
    </rPh>
    <rPh sb="3" eb="5">
      <t>ニッスウ</t>
    </rPh>
    <phoneticPr fontId="1"/>
  </si>
  <si>
    <t>延床面積(坪)</t>
    <phoneticPr fontId="1"/>
  </si>
  <si>
    <t>増減日数</t>
    <rPh sb="0" eb="2">
      <t>ゾウゲン</t>
    </rPh>
    <rPh sb="2" eb="4">
      <t>ニッスウ</t>
    </rPh>
    <phoneticPr fontId="1"/>
  </si>
  <si>
    <t>基準以下の減分</t>
    <rPh sb="5" eb="6">
      <t>ゲン</t>
    </rPh>
    <rPh sb="6" eb="7">
      <t>ブン</t>
    </rPh>
    <phoneticPr fontId="1"/>
  </si>
  <si>
    <t>基準以上の増分</t>
    <rPh sb="5" eb="7">
      <t>ゾウブン</t>
    </rPh>
    <phoneticPr fontId="1"/>
  </si>
  <si>
    <t>基準増減</t>
    <rPh sb="0" eb="2">
      <t>キジュン</t>
    </rPh>
    <rPh sb="2" eb="4">
      <t>ゾウゲン</t>
    </rPh>
    <phoneticPr fontId="1"/>
  </si>
  <si>
    <t>担当監督</t>
    <rPh sb="0" eb="2">
      <t>タントウ</t>
    </rPh>
    <rPh sb="2" eb="4">
      <t>カントク</t>
    </rPh>
    <phoneticPr fontId="1"/>
  </si>
  <si>
    <t>担当店舗</t>
    <rPh sb="0" eb="2">
      <t>タントウ</t>
    </rPh>
    <rPh sb="2" eb="4">
      <t>テンポ</t>
    </rPh>
    <phoneticPr fontId="1"/>
  </si>
  <si>
    <t>計画坪数</t>
    <rPh sb="0" eb="2">
      <t>ケイカク</t>
    </rPh>
    <rPh sb="2" eb="4">
      <t>ツボスウ</t>
    </rPh>
    <phoneticPr fontId="1"/>
  </si>
  <si>
    <r>
      <t xml:space="preserve">＊工期計算改定2022年11月19日
</t>
    </r>
    <r>
      <rPr>
        <b/>
        <u/>
        <sz val="14"/>
        <color rgb="FFFF0000"/>
        <rFont val="Meiryo UI"/>
        <family val="3"/>
        <charset val="128"/>
      </rPr>
      <t>営業部の工期算出のための簡易的な工程算出</t>
    </r>
    <r>
      <rPr>
        <b/>
        <sz val="14"/>
        <color theme="1"/>
        <rFont val="Meiryo UI"/>
        <family val="3"/>
        <charset val="128"/>
      </rPr>
      <t xml:space="preserve">です。
工務部は基礎着工状況（着工集中）や大工ローテ段取りを考慮して客出し工程表作成してください。
ただし、基本的工期はこの表算出にのっとり工程作成をお願いします。
50坪超や造作難物件などは4者時点での申し出と客出し、工程表サインの時にしっかり説明して工期をいただくようにお願いします。
</t>
    </r>
    <r>
      <rPr>
        <b/>
        <u/>
        <sz val="14"/>
        <color theme="1"/>
        <rFont val="Meiryo UI"/>
        <family val="3"/>
        <charset val="128"/>
      </rPr>
      <t>50坪以下で外壁タイル物件の場合は、項6を指定。</t>
    </r>
    <rPh sb="186" eb="187">
      <t>ツボ</t>
    </rPh>
    <rPh sb="187" eb="189">
      <t>イカ</t>
    </rPh>
    <rPh sb="190" eb="192">
      <t>ガイヘキ</t>
    </rPh>
    <rPh sb="195" eb="197">
      <t>ブッケン</t>
    </rPh>
    <rPh sb="198" eb="200">
      <t>バアイ</t>
    </rPh>
    <phoneticPr fontId="1"/>
  </si>
  <si>
    <t>マスターシートより抜粋</t>
    <rPh sb="9" eb="11">
      <t>バッスイ</t>
    </rPh>
    <phoneticPr fontId="1"/>
  </si>
  <si>
    <t>基準日数</t>
    <rPh sb="0" eb="4">
      <t>キジュンニッスウ</t>
    </rPh>
    <phoneticPr fontId="1"/>
  </si>
  <si>
    <t>基準坪数</t>
    <rPh sb="0" eb="3">
      <t>キジュンツボ</t>
    </rPh>
    <rPh sb="3" eb="4">
      <t>スウ</t>
    </rPh>
    <phoneticPr fontId="1"/>
  </si>
  <si>
    <t>様</t>
    <rPh sb="0" eb="1">
      <t>サマ</t>
    </rPh>
    <phoneticPr fontId="1"/>
  </si>
  <si>
    <t>年月日</t>
    <rPh sb="0" eb="3">
      <t>ネンガッピ</t>
    </rPh>
    <phoneticPr fontId="0"/>
  </si>
  <si>
    <t>曜日</t>
    <rPh sb="0" eb="2">
      <t>ヨウビ</t>
    </rPh>
    <phoneticPr fontId="0"/>
  </si>
  <si>
    <t>六曜</t>
    <rPh sb="0" eb="2">
      <t>ロクヨウ</t>
    </rPh>
    <phoneticPr fontId="0"/>
  </si>
  <si>
    <t>金</t>
  </si>
  <si>
    <t>友引</t>
  </si>
  <si>
    <t>土</t>
  </si>
  <si>
    <t>先負</t>
  </si>
  <si>
    <t>日</t>
  </si>
  <si>
    <t>仏滅</t>
  </si>
  <si>
    <t>大安</t>
  </si>
  <si>
    <t>火</t>
  </si>
  <si>
    <t>赤口</t>
  </si>
  <si>
    <t>水</t>
  </si>
  <si>
    <t>先勝</t>
  </si>
  <si>
    <t>木</t>
  </si>
  <si>
    <t>延床面積㎡</t>
    <rPh sb="0" eb="2">
      <t>ノベユカ</t>
    </rPh>
    <rPh sb="2" eb="4">
      <t>メンセキ</t>
    </rPh>
    <phoneticPr fontId="1"/>
  </si>
  <si>
    <t>契約時覚書【閲覧専用】</t>
    <rPh sb="0" eb="3">
      <t>ケイヤクジ</t>
    </rPh>
    <phoneticPr fontId="38"/>
  </si>
  <si>
    <t>ResultId</t>
    <phoneticPr fontId="1"/>
  </si>
  <si>
    <t>条件を指定してMSS一覧の取得</t>
    <rPh sb="0" eb="2">
      <t>ジョウケン</t>
    </rPh>
    <rPh sb="3" eb="5">
      <t>シテイ</t>
    </rPh>
    <rPh sb="10" eb="12">
      <t>イチラン</t>
    </rPh>
    <rPh sb="13" eb="15">
      <t>シュトク</t>
    </rPh>
    <phoneticPr fontId="1"/>
  </si>
  <si>
    <t>特定の契約コードを選択し、詳細情報を取得</t>
    <rPh sb="0" eb="2">
      <t>トクテイ</t>
    </rPh>
    <rPh sb="3" eb="5">
      <t>ケイヤク</t>
    </rPh>
    <rPh sb="9" eb="11">
      <t>センタク</t>
    </rPh>
    <rPh sb="13" eb="15">
      <t>ショウサイ</t>
    </rPh>
    <rPh sb="15" eb="17">
      <t>ジョウホウ</t>
    </rPh>
    <rPh sb="18" eb="20">
      <t>シュトク</t>
    </rPh>
    <phoneticPr fontId="1"/>
  </si>
  <si>
    <t>MSSレコードおよびお客様データファイルのレコードを取得</t>
    <rPh sb="11" eb="13">
      <t>キャクサマ</t>
    </rPh>
    <rPh sb="26" eb="28">
      <t>シュトク</t>
    </rPh>
    <phoneticPr fontId="1"/>
  </si>
  <si>
    <t>添付ファイルを指定して一括ダウンロード</t>
    <rPh sb="0" eb="2">
      <t>テンプ</t>
    </rPh>
    <rPh sb="7" eb="9">
      <t>シテイ</t>
    </rPh>
    <rPh sb="11" eb="13">
      <t>イッカツ</t>
    </rPh>
    <phoneticPr fontId="1"/>
  </si>
  <si>
    <t>覚書シートにデータを反映</t>
    <rPh sb="0" eb="2">
      <t>オボエガキ</t>
    </rPh>
    <rPh sb="10" eb="12">
      <t>ハンエイ</t>
    </rPh>
    <phoneticPr fontId="1"/>
  </si>
  <si>
    <t>粗利益確認書にデータを反映</t>
    <rPh sb="0" eb="3">
      <t>アラリエキ</t>
    </rPh>
    <rPh sb="3" eb="5">
      <t>カクニン</t>
    </rPh>
    <rPh sb="5" eb="6">
      <t>ショ</t>
    </rPh>
    <rPh sb="11" eb="13">
      <t>ハンエイ</t>
    </rPh>
    <phoneticPr fontId="1"/>
  </si>
  <si>
    <t>リードタイム算定書にデータを反映</t>
    <rPh sb="6" eb="8">
      <t>サンテイ</t>
    </rPh>
    <rPh sb="8" eb="9">
      <t>ショ</t>
    </rPh>
    <rPh sb="14" eb="16">
      <t>ハンエイ</t>
    </rPh>
    <phoneticPr fontId="1"/>
  </si>
  <si>
    <t>工期計算シートにデータを反映</t>
    <rPh sb="0" eb="2">
      <t>コウキ</t>
    </rPh>
    <rPh sb="2" eb="4">
      <t>ケイサン</t>
    </rPh>
    <rPh sb="12" eb="14">
      <t>ハンエイ</t>
    </rPh>
    <phoneticPr fontId="1"/>
  </si>
  <si>
    <t>追加変更WFリストを取得</t>
    <rPh sb="0" eb="4">
      <t>ツイカヘンコウ</t>
    </rPh>
    <rPh sb="10" eb="12">
      <t>シュトク</t>
    </rPh>
    <phoneticPr fontId="1"/>
  </si>
  <si>
    <t>Class033</t>
  </si>
  <si>
    <t>エリア</t>
    <phoneticPr fontId="1"/>
  </si>
  <si>
    <t>件名</t>
    <rPh sb="0" eb="2">
      <t>ケンメイ</t>
    </rPh>
    <phoneticPr fontId="1"/>
  </si>
  <si>
    <t>担当者</t>
    <rPh sb="0" eb="3">
      <t>タントウシャ</t>
    </rPh>
    <phoneticPr fontId="1"/>
  </si>
  <si>
    <t>物件区分</t>
    <rPh sb="0" eb="2">
      <t>ブッケン</t>
    </rPh>
    <rPh sb="2" eb="4">
      <t>クブン</t>
    </rPh>
    <phoneticPr fontId="1"/>
  </si>
  <si>
    <t>承認期限</t>
    <rPh sb="0" eb="2">
      <t>ショウニン</t>
    </rPh>
    <rPh sb="2" eb="4">
      <t>キゲン</t>
    </rPh>
    <phoneticPr fontId="1"/>
  </si>
  <si>
    <t>引渡予定日</t>
    <rPh sb="0" eb="5">
      <t>ヒキワタシヨテイビ</t>
    </rPh>
    <phoneticPr fontId="1"/>
  </si>
  <si>
    <t>[追変]新規作成</t>
  </si>
  <si>
    <t>status-white</t>
  </si>
  <si>
    <t>[追変]差戻し</t>
  </si>
  <si>
    <t>status-red</t>
  </si>
  <si>
    <t>[追変]新規申請</t>
  </si>
  <si>
    <t>status-brown</t>
  </si>
  <si>
    <t>[追変]承認済</t>
  </si>
  <si>
    <t>status-closed</t>
  </si>
  <si>
    <t>[追変]取消</t>
  </si>
  <si>
    <t>status-rejected</t>
  </si>
  <si>
    <t>色</t>
    <rPh sb="0" eb="1">
      <t>イロ</t>
    </rPh>
    <phoneticPr fontId="1"/>
  </si>
  <si>
    <t>WF追変申請ID</t>
    <rPh sb="2" eb="3">
      <t>ツイ</t>
    </rPh>
    <rPh sb="3" eb="4">
      <t>ヘン</t>
    </rPh>
    <rPh sb="4" eb="6">
      <t>シンセイ</t>
    </rPh>
    <phoneticPr fontId="1"/>
  </si>
  <si>
    <t>URL</t>
    <phoneticPr fontId="1"/>
  </si>
  <si>
    <t>追加変更WF申請一覧</t>
    <rPh sb="0" eb="4">
      <t>ツイカヘンコウ</t>
    </rPh>
    <rPh sb="6" eb="8">
      <t>シンセイ</t>
    </rPh>
    <rPh sb="8" eb="10">
      <t>イチラン</t>
    </rPh>
    <phoneticPr fontId="1"/>
  </si>
  <si>
    <t>追加変更WFリストから選択したレコードの添付ファイルを一括ダウンロード</t>
    <rPh sb="0" eb="4">
      <t>ツイカヘンコウ</t>
    </rPh>
    <rPh sb="11" eb="13">
      <t>センタク</t>
    </rPh>
    <rPh sb="20" eb="22">
      <t>テンプ</t>
    </rPh>
    <rPh sb="27" eb="29">
      <t>イッカツ</t>
    </rPh>
    <phoneticPr fontId="1"/>
  </si>
  <si>
    <t>MSSより取得契約日</t>
    <rPh sb="5" eb="7">
      <t>シュトク</t>
    </rPh>
    <rPh sb="7" eb="10">
      <t>ケイヤクビ</t>
    </rPh>
    <phoneticPr fontId="1"/>
  </si>
  <si>
    <t>狭あい</t>
    <rPh sb="0" eb="1">
      <t>キョウ</t>
    </rPh>
    <phoneticPr fontId="71"/>
  </si>
  <si>
    <t>[本契]管理設計</t>
  </si>
  <si>
    <t>[本契]所属長</t>
  </si>
  <si>
    <t>[本契]着工要因</t>
  </si>
  <si>
    <t>[本契]専務</t>
  </si>
  <si>
    <t>[本契]総務</t>
  </si>
  <si>
    <t>[本契]最終</t>
  </si>
  <si>
    <t>[設契]管理設計</t>
  </si>
  <si>
    <t>[設契]所属長</t>
  </si>
  <si>
    <t>[設契]着工要因</t>
  </si>
  <si>
    <t>[設契]総務</t>
  </si>
  <si>
    <t>[設契]最終</t>
  </si>
  <si>
    <t>3階建て</t>
  </si>
  <si>
    <t>基数</t>
  </si>
  <si>
    <t>深基礎</t>
  </si>
  <si>
    <t>50坪以下外壁ﾀｲﾙ</t>
  </si>
  <si>
    <t>2世帯</t>
  </si>
  <si>
    <t>ネオマ物件</t>
  </si>
  <si>
    <t>着工予定日</t>
  </si>
  <si>
    <t>上棟予定参考日</t>
  </si>
  <si>
    <t>引渡予定参考日</t>
  </si>
  <si>
    <t>基準坪数</t>
  </si>
  <si>
    <t>基準日数</t>
  </si>
  <si>
    <t>計画坪数</t>
  </si>
  <si>
    <t>判定基本工期</t>
  </si>
  <si>
    <t>追加判定工期</t>
  </si>
  <si>
    <t>特殊項目日数</t>
  </si>
  <si>
    <t>合計工期</t>
  </si>
  <si>
    <t>調整日1</t>
  </si>
  <si>
    <t>調整日2</t>
  </si>
  <si>
    <t>勾配天井</t>
  </si>
  <si>
    <t>小屋裏</t>
  </si>
  <si>
    <t>インナーガレージ</t>
  </si>
  <si>
    <t>内部タイル張り</t>
  </si>
  <si>
    <t>羽目板造作</t>
  </si>
  <si>
    <t>和室(床の間・仏間)</t>
  </si>
  <si>
    <t>小上がり施工</t>
  </si>
  <si>
    <t>小上がり収納付き</t>
  </si>
  <si>
    <t>中二階+ﾘﾋﾞﾝｸﾞ床下</t>
  </si>
  <si>
    <t>工期計算表【閲覧専用】</t>
    <rPh sb="0" eb="5">
      <t>コウキケイサンヒョウ</t>
    </rPh>
    <rPh sb="6" eb="8">
      <t>エツラン</t>
    </rPh>
    <rPh sb="8" eb="10">
      <t>センヨウ</t>
    </rPh>
    <phoneticPr fontId="1"/>
  </si>
  <si>
    <t>このシートはプリザンターMSSに登録されたデータを閲覧するためのものです。
このシート上で数値を変更してもプリザンターのデータは更新されません。</t>
    <rPh sb="16" eb="18">
      <t>トウロク</t>
    </rPh>
    <rPh sb="25" eb="27">
      <t>エツラン</t>
    </rPh>
    <rPh sb="43" eb="44">
      <t>ジョウ</t>
    </rPh>
    <rPh sb="45" eb="47">
      <t>スウチ</t>
    </rPh>
    <rPh sb="48" eb="50">
      <t>ヘンコウ</t>
    </rPh>
    <rPh sb="64" eb="66">
      <t>コウシン</t>
    </rPh>
    <phoneticPr fontId="1"/>
  </si>
  <si>
    <t>ResultId</t>
    <phoneticPr fontId="1"/>
  </si>
  <si>
    <t>MSS補助ツール</t>
    <rPh sb="3" eb="5">
      <t>ホジョ</t>
    </rPh>
    <phoneticPr fontId="1"/>
  </si>
  <si>
    <t>プリザンターマスターシートシステム（MSS）で入力された各種データを</t>
    <rPh sb="23" eb="25">
      <t>ニュウリョク</t>
    </rPh>
    <rPh sb="28" eb="30">
      <t>カクシュ</t>
    </rPh>
    <phoneticPr fontId="1"/>
  </si>
  <si>
    <t>閲覧、一括ダウンロードする。</t>
    <rPh sb="0" eb="2">
      <t>エツラン</t>
    </rPh>
    <rPh sb="3" eb="5">
      <t>イッカツ</t>
    </rPh>
    <phoneticPr fontId="1"/>
  </si>
  <si>
    <t>Administrator</t>
  </si>
  <si>
    <t>管理者</t>
  </si>
  <si>
    <t>next15383</t>
  </si>
  <si>
    <t>TEST_USER</t>
  </si>
  <si>
    <t>nogitest</t>
  </si>
  <si>
    <t>野木テストユーザ</t>
  </si>
  <si>
    <t>user0001</t>
  </si>
  <si>
    <t>USER001</t>
  </si>
  <si>
    <t>user002</t>
  </si>
  <si>
    <t>USER002</t>
  </si>
  <si>
    <t>demo0001</t>
  </si>
  <si>
    <t>デモ 0001</t>
  </si>
  <si>
    <t>SystemUser</t>
  </si>
  <si>
    <t>システムユーザ</t>
  </si>
  <si>
    <t>systemadmin</t>
  </si>
  <si>
    <t>システム管理者</t>
  </si>
  <si>
    <t>TEST_USER2</t>
  </si>
  <si>
    <t>kmjco34593</t>
  </si>
  <si>
    <t>next20630</t>
  </si>
  <si>
    <t>奥 伸浩</t>
  </si>
  <si>
    <t>next20629</t>
  </si>
  <si>
    <t>奥村 千栄子</t>
  </si>
  <si>
    <t>next20632</t>
  </si>
  <si>
    <t>v1.1</t>
    <phoneticPr fontId="1"/>
  </si>
  <si>
    <t>担当営業プルダウンメニュー不具合修正</t>
    <rPh sb="0" eb="4">
      <t>タントウエイギョウ</t>
    </rPh>
    <rPh sb="13" eb="16">
      <t>フグアイ</t>
    </rPh>
    <rPh sb="16" eb="18">
      <t>シュウセイ</t>
    </rPh>
    <phoneticPr fontId="1"/>
  </si>
  <si>
    <t>改定履歴</t>
    <rPh sb="0" eb="2">
      <t>カイテイ</t>
    </rPh>
    <rPh sb="2" eb="4">
      <t>リレキ</t>
    </rPh>
    <phoneticPr fontId="1"/>
  </si>
  <si>
    <t>組織ID</t>
  </si>
  <si>
    <t>組織名</t>
  </si>
  <si>
    <t>説明</t>
  </si>
  <si>
    <t>クリエイティブ デザイン ワークス</t>
  </si>
  <si>
    <t>xxx</t>
  </si>
  <si>
    <t>経理・財務課</t>
  </si>
  <si>
    <t>なないろケアプランセンター</t>
  </si>
  <si>
    <t>10103b</t>
  </si>
  <si>
    <t>10031b</t>
  </si>
  <si>
    <t>FIT-PHP</t>
  </si>
  <si>
    <t>クレバリーホーム静岡</t>
  </si>
  <si>
    <t>広報課ブランディング室</t>
  </si>
  <si>
    <t>ケアセブン福祉用具販売</t>
  </si>
  <si>
    <t>ケアセブン訪問看護</t>
  </si>
  <si>
    <t>市川典正</t>
  </si>
  <si>
    <t>イオンハウジング津田沼</t>
  </si>
  <si>
    <t>第一建材八戸事業所</t>
  </si>
  <si>
    <t>豊藏 一幸</t>
  </si>
  <si>
    <t>積算発注管理課</t>
  </si>
  <si>
    <t>営業積算課</t>
  </si>
  <si>
    <t>確認申請課</t>
  </si>
  <si>
    <t>10103a</t>
  </si>
  <si>
    <t>西東京不動産課</t>
  </si>
  <si>
    <t>人事・社長室</t>
  </si>
  <si>
    <t>10031a</t>
  </si>
  <si>
    <t>FIT-JPN</t>
  </si>
  <si>
    <t>総務・労務課</t>
  </si>
  <si>
    <t>豊藏 恵美</t>
  </si>
  <si>
    <t>杉山　康弘</t>
  </si>
  <si>
    <t>特建事業部</t>
  </si>
  <si>
    <t>クレバリーホーム千葉中央</t>
  </si>
  <si>
    <t>UpdatedTime</t>
  </si>
  <si>
    <t>ResultId</t>
  </si>
  <si>
    <t>Body</t>
  </si>
  <si>
    <t>Status</t>
  </si>
  <si>
    <t>Owner</t>
  </si>
  <si>
    <t>Updator</t>
  </si>
  <si>
    <t>ItemTitle</t>
  </si>
  <si>
    <t>単世帯</t>
  </si>
  <si>
    <t>ClassA</t>
  </si>
  <si>
    <t>工期計算表</t>
  </si>
  <si>
    <t>『WF追加変更申請』のファイルダウンロード文言修正</t>
    <rPh sb="21" eb="23">
      <t>モンゴン</t>
    </rPh>
    <rPh sb="23" eb="25">
      <t>シュウセイ</t>
    </rPh>
    <phoneticPr fontId="1"/>
  </si>
  <si>
    <t>v1.2</t>
    <phoneticPr fontId="1"/>
  </si>
  <si>
    <t>v1.3</t>
    <phoneticPr fontId="1"/>
  </si>
  <si>
    <t>v1.0</t>
    <phoneticPr fontId="1"/>
  </si>
  <si>
    <t>リリース</t>
    <phoneticPr fontId="1"/>
  </si>
  <si>
    <t>クレバリーホーム船橋 名称変更</t>
    <rPh sb="8" eb="10">
      <t>フナバシ</t>
    </rPh>
    <rPh sb="11" eb="15">
      <t>メイショウヘンコウ</t>
    </rPh>
    <phoneticPr fontId="1"/>
  </si>
  <si>
    <t>v1.4</t>
    <phoneticPr fontId="1"/>
  </si>
  <si>
    <t>見積根拠書類を設計契約と本契約で分離</t>
    <rPh sb="0" eb="2">
      <t>ミツモリ</t>
    </rPh>
    <rPh sb="2" eb="4">
      <t>コンキョ</t>
    </rPh>
    <rPh sb="4" eb="6">
      <t>ショルイ</t>
    </rPh>
    <rPh sb="7" eb="9">
      <t>セッケイ</t>
    </rPh>
    <rPh sb="9" eb="11">
      <t>ケイヤク</t>
    </rPh>
    <rPh sb="12" eb="15">
      <t>ホンケイヤク</t>
    </rPh>
    <rPh sb="16" eb="18">
      <t>ブンリ</t>
    </rPh>
    <phoneticPr fontId="1"/>
  </si>
  <si>
    <t>[設]見積根拠書類1</t>
  </si>
  <si>
    <t>[設]見積根拠書類2</t>
  </si>
  <si>
    <t>[設]見積根拠書類3</t>
  </si>
  <si>
    <t>[設]見積根拠書類4</t>
  </si>
  <si>
    <t>[設]見積根拠書類5</t>
  </si>
  <si>
    <t>[本]見積根拠書類1</t>
  </si>
  <si>
    <t>[本]見積根拠書類2</t>
  </si>
  <si>
    <t>[本]見積根拠書類3</t>
  </si>
  <si>
    <t>[本]見積根拠書類4</t>
  </si>
  <si>
    <t>[本]見積根拠書類5</t>
  </si>
  <si>
    <t>Attachment041</t>
  </si>
  <si>
    <t>Attachment042</t>
  </si>
  <si>
    <t>Attachment043</t>
  </si>
  <si>
    <t>Attachment044</t>
  </si>
  <si>
    <t>Attachment045</t>
  </si>
  <si>
    <t>[設]見積根拠書類1</t>
    <rPh sb="1" eb="2">
      <t>セツ</t>
    </rPh>
    <phoneticPr fontId="1"/>
  </si>
  <si>
    <t>[設]見積根拠書類2</t>
    <phoneticPr fontId="1"/>
  </si>
  <si>
    <t>[設]見積根拠書類3</t>
    <phoneticPr fontId="1"/>
  </si>
  <si>
    <t>[設]見積根拠書類4</t>
    <phoneticPr fontId="1"/>
  </si>
  <si>
    <t>[設]見積根拠書類5</t>
    <phoneticPr fontId="1"/>
  </si>
  <si>
    <t>[本]見積根拠書類1</t>
    <phoneticPr fontId="1"/>
  </si>
  <si>
    <t>覚書、粗利益確認書 PDF保存ボタンの追加</t>
    <rPh sb="0" eb="2">
      <t>オボエガキ</t>
    </rPh>
    <rPh sb="3" eb="9">
      <t>アラリエキ</t>
    </rPh>
    <rPh sb="13" eb="15">
      <t>ホゾン</t>
    </rPh>
    <rPh sb="19" eb="21">
      <t>ツイカ</t>
    </rPh>
    <phoneticPr fontId="1"/>
  </si>
  <si>
    <t>v1.5</t>
    <phoneticPr fontId="1"/>
  </si>
  <si>
    <t>粗利益確認書データ取得不具合の修正</t>
    <rPh sb="0" eb="3">
      <t>アラリエキ</t>
    </rPh>
    <rPh sb="3" eb="5">
      <t>カクニン</t>
    </rPh>
    <rPh sb="5" eb="6">
      <t>ショ</t>
    </rPh>
    <rPh sb="9" eb="11">
      <t>シュトク</t>
    </rPh>
    <rPh sb="11" eb="14">
      <t>フグアイ</t>
    </rPh>
    <rPh sb="15" eb="17">
      <t>シュウセイ</t>
    </rPh>
    <phoneticPr fontId="1"/>
  </si>
  <si>
    <t>外部仕様書に基づく</t>
  </si>
  <si>
    <t>確認申請</t>
  </si>
  <si>
    <t>設計図書</t>
  </si>
  <si>
    <t>地盤調査費</t>
  </si>
  <si>
    <t>自己資金</t>
    <phoneticPr fontId="1"/>
  </si>
  <si>
    <t>着工時金</t>
    <phoneticPr fontId="1"/>
  </si>
  <si>
    <t>エリア</t>
    <phoneticPr fontId="1"/>
  </si>
  <si>
    <t>223385</t>
    <phoneticPr fontId="1"/>
  </si>
  <si>
    <t>210704</t>
    <phoneticPr fontId="1"/>
  </si>
  <si>
    <t>210703</t>
    <phoneticPr fontId="1"/>
  </si>
  <si>
    <t>210702</t>
    <phoneticPr fontId="1"/>
  </si>
  <si>
    <t>210701</t>
    <phoneticPr fontId="1"/>
  </si>
  <si>
    <t>210700</t>
    <phoneticPr fontId="1"/>
  </si>
  <si>
    <t>東京のみ+14日</t>
    <rPh sb="0" eb="2">
      <t>トウキョウ</t>
    </rPh>
    <rPh sb="7" eb="8">
      <t>ニチ</t>
    </rPh>
    <phoneticPr fontId="1"/>
  </si>
  <si>
    <t>工期計算 計算式修正</t>
    <rPh sb="0" eb="2">
      <t>コウキ</t>
    </rPh>
    <rPh sb="2" eb="4">
      <t>ケイサン</t>
    </rPh>
    <rPh sb="5" eb="8">
      <t>ケイサンシキ</t>
    </rPh>
    <rPh sb="8" eb="10">
      <t>シュウセイ</t>
    </rPh>
    <phoneticPr fontId="1"/>
  </si>
  <si>
    <t>リードタイム算定書 計算式修正</t>
    <rPh sb="6" eb="8">
      <t>サンテイ</t>
    </rPh>
    <rPh sb="8" eb="9">
      <t>ショ</t>
    </rPh>
    <rPh sb="10" eb="13">
      <t>ケイサンシキ</t>
    </rPh>
    <rPh sb="13" eb="15">
      <t>シュウセイ</t>
    </rPh>
    <phoneticPr fontId="1"/>
  </si>
  <si>
    <t>データ取得プロセスのバグ修正</t>
    <rPh sb="3" eb="5">
      <t>シュトク</t>
    </rPh>
    <rPh sb="12" eb="14">
      <t>シュウセイ</t>
    </rPh>
    <phoneticPr fontId="1"/>
  </si>
  <si>
    <t>新築</t>
  </si>
  <si>
    <t>v1.6</t>
    <phoneticPr fontId="1"/>
  </si>
  <si>
    <t>「覚書」 見積情報、支払情報のバグ修正</t>
    <rPh sb="1" eb="3">
      <t>オボエガキ</t>
    </rPh>
    <rPh sb="5" eb="7">
      <t>ミツモリ</t>
    </rPh>
    <rPh sb="7" eb="9">
      <t>ジョウホウ</t>
    </rPh>
    <rPh sb="10" eb="14">
      <t>シハライジョウホウ</t>
    </rPh>
    <rPh sb="17" eb="19">
      <t>シュウセイ</t>
    </rPh>
    <phoneticPr fontId="1"/>
  </si>
  <si>
    <t>ClassC</t>
  </si>
  <si>
    <t>ClassG</t>
  </si>
  <si>
    <t>v1.7</t>
    <phoneticPr fontId="1"/>
  </si>
  <si>
    <t>スラッシュ付き項目名のファイルのダウンロードに失敗していたためスラッシュ文字を削除する用修正</t>
    <rPh sb="5" eb="6">
      <t>ツ</t>
    </rPh>
    <rPh sb="7" eb="10">
      <t>コウモクメイ</t>
    </rPh>
    <rPh sb="23" eb="25">
      <t>シッパイ</t>
    </rPh>
    <rPh sb="36" eb="38">
      <t>モジ</t>
    </rPh>
    <rPh sb="39" eb="41">
      <t>サクジョ</t>
    </rPh>
    <rPh sb="43" eb="44">
      <t>ヨウ</t>
    </rPh>
    <rPh sb="44" eb="46">
      <t>シュウセイ</t>
    </rPh>
    <phoneticPr fontId="1"/>
  </si>
  <si>
    <t>v1.8</t>
    <phoneticPr fontId="1"/>
  </si>
  <si>
    <t>SiteId</t>
  </si>
  <si>
    <t>Ver</t>
  </si>
  <si>
    <t>Manager</t>
  </si>
  <si>
    <t>Locked</t>
  </si>
  <si>
    <t>Comments</t>
  </si>
  <si>
    <t>Creator</t>
  </si>
  <si>
    <t>CreatedTime</t>
  </si>
  <si>
    <t>ApiVersion</t>
  </si>
  <si>
    <t>[]</t>
  </si>
  <si>
    <t>Title</t>
  </si>
  <si>
    <t>ネクストイノベーション株式会社</t>
  </si>
  <si>
    <t>163-1502</t>
  </si>
  <si>
    <t>東京都新宿区西新宿一丁目6番1号</t>
  </si>
  <si>
    <t>03-4589-5557</t>
  </si>
  <si>
    <t>ClassF</t>
  </si>
  <si>
    <t>トヨクラ カズユキ</t>
  </si>
  <si>
    <t>MB2015031424</t>
  </si>
  <si>
    <t>粗利益確認書の計算式不具合修正</t>
    <rPh sb="0" eb="3">
      <t>アラリエキ</t>
    </rPh>
    <rPh sb="3" eb="5">
      <t>カクニン</t>
    </rPh>
    <rPh sb="5" eb="6">
      <t>ショ</t>
    </rPh>
    <rPh sb="7" eb="10">
      <t>ケイサンシキ</t>
    </rPh>
    <rPh sb="10" eb="13">
      <t>フグアイ</t>
    </rPh>
    <rPh sb="13" eb="15">
      <t>シュウセイ</t>
    </rPh>
    <phoneticPr fontId="1"/>
  </si>
  <si>
    <t>「シリーズ」未選択物件の情報取得プロセスの修正</t>
    <rPh sb="6" eb="9">
      <t>ミセンタク</t>
    </rPh>
    <rPh sb="9" eb="11">
      <t>ブッケン</t>
    </rPh>
    <rPh sb="12" eb="16">
      <t>ジョウホウシュトク</t>
    </rPh>
    <rPh sb="21" eb="23">
      <t>シュウセイ</t>
    </rPh>
    <phoneticPr fontId="1"/>
  </si>
  <si>
    <t>リードタイム</t>
  </si>
  <si>
    <t>v1.9</t>
    <phoneticPr fontId="1"/>
  </si>
  <si>
    <t>粗利益確認書の付帯項目などで行数以上の項目を読み込みする際に数式を</t>
    <rPh sb="0" eb="3">
      <t>アラリエキ</t>
    </rPh>
    <rPh sb="3" eb="5">
      <t>カクニン</t>
    </rPh>
    <rPh sb="5" eb="6">
      <t>ショ</t>
    </rPh>
    <rPh sb="7" eb="9">
      <t>フタイ</t>
    </rPh>
    <rPh sb="9" eb="11">
      <t>コウモク</t>
    </rPh>
    <rPh sb="14" eb="16">
      <t>ギョウスウ</t>
    </rPh>
    <rPh sb="16" eb="18">
      <t>イジョウ</t>
    </rPh>
    <rPh sb="19" eb="21">
      <t>コウモク</t>
    </rPh>
    <rPh sb="22" eb="23">
      <t>ヨ</t>
    </rPh>
    <rPh sb="24" eb="25">
      <t>コ</t>
    </rPh>
    <rPh sb="28" eb="29">
      <t>サイ</t>
    </rPh>
    <rPh sb="30" eb="32">
      <t>スウシキ</t>
    </rPh>
    <phoneticPr fontId="1"/>
  </si>
  <si>
    <t>上書きしてしまう不具合を修正</t>
    <rPh sb="0" eb="2">
      <t>ウワガ</t>
    </rPh>
    <rPh sb="8" eb="11">
      <t>フグアイ</t>
    </rPh>
    <rPh sb="12" eb="14">
      <t>シュウセイ</t>
    </rPh>
    <phoneticPr fontId="1"/>
  </si>
  <si>
    <t>v2.0</t>
    <phoneticPr fontId="1"/>
  </si>
  <si>
    <t>お客様データファイルに以下2つのダウンロードを追加しました。</t>
    <rPh sb="1" eb="3">
      <t>キャクサマ</t>
    </rPh>
    <rPh sb="11" eb="13">
      <t>イカ</t>
    </rPh>
    <rPh sb="23" eb="25">
      <t>ツイカ</t>
    </rPh>
    <phoneticPr fontId="1"/>
  </si>
  <si>
    <t>「災害マップ」「都市計画図」</t>
  </si>
  <si>
    <t>災害マップ</t>
    <rPh sb="0" eb="2">
      <t>サイガイ</t>
    </rPh>
    <phoneticPr fontId="1"/>
  </si>
  <si>
    <t>都市計画図</t>
    <rPh sb="0" eb="2">
      <t>トシ</t>
    </rPh>
    <rPh sb="2" eb="5">
      <t>ケイカクズ</t>
    </rPh>
    <phoneticPr fontId="1"/>
  </si>
  <si>
    <t>Attachments096</t>
    <phoneticPr fontId="1"/>
  </si>
  <si>
    <t>Attachments097</t>
    <phoneticPr fontId="1"/>
  </si>
  <si>
    <t>都市計画図</t>
    <rPh sb="0" eb="2">
      <t>トシ</t>
    </rPh>
    <rPh sb="2" eb="5">
      <t>ケイカク</t>
    </rPh>
    <phoneticPr fontId="1"/>
  </si>
  <si>
    <t>都市計画図</t>
    <rPh sb="0" eb="4">
      <t>トシケイk</t>
    </rPh>
    <rPh sb="4" eb="5">
      <t>ズ</t>
    </rPh>
    <phoneticPr fontId="1"/>
  </si>
  <si>
    <t>[本契]事前申請</t>
    <phoneticPr fontId="1"/>
  </si>
  <si>
    <t>[本契]事前確認</t>
    <phoneticPr fontId="1"/>
  </si>
  <si>
    <t>[設契]事前申請</t>
    <phoneticPr fontId="1"/>
  </si>
  <si>
    <t>[設契]事前確認</t>
    <phoneticPr fontId="1"/>
  </si>
  <si>
    <t>日野 益巳</t>
  </si>
  <si>
    <t>next20631</t>
  </si>
  <si>
    <t>吉澤 菜摘</t>
  </si>
  <si>
    <t>designoic01</t>
  </si>
  <si>
    <t>小池 由里子</t>
  </si>
  <si>
    <t>next20633</t>
  </si>
  <si>
    <t>岸上 明子</t>
  </si>
  <si>
    <t>kmjco34594</t>
  </si>
  <si>
    <t>佐藤 有香</t>
  </si>
  <si>
    <t>next20634</t>
  </si>
  <si>
    <t>髙田 祐一</t>
  </si>
  <si>
    <t>next20635</t>
  </si>
  <si>
    <t>小川 晃司</t>
  </si>
  <si>
    <t>next20636</t>
  </si>
  <si>
    <t>原田 昇</t>
  </si>
  <si>
    <t>kmjco34595</t>
  </si>
  <si>
    <t>佐藤 嘉剛</t>
  </si>
  <si>
    <t>clev03638</t>
  </si>
  <si>
    <t>堀井 久美子</t>
  </si>
  <si>
    <t>clev03637</t>
  </si>
  <si>
    <t>ronel@fitphp</t>
  </si>
  <si>
    <t>ロネル</t>
  </si>
  <si>
    <t>next20643</t>
  </si>
  <si>
    <t>next20644</t>
  </si>
  <si>
    <t>next20639</t>
  </si>
  <si>
    <t>財部 恵利</t>
  </si>
  <si>
    <t>next20642</t>
  </si>
  <si>
    <t>next20641</t>
  </si>
  <si>
    <t>next20640</t>
  </si>
  <si>
    <t>佐々木 愛美</t>
  </si>
  <si>
    <t>next20645</t>
  </si>
  <si>
    <t>中村 愛</t>
  </si>
  <si>
    <t>clev03646</t>
  </si>
  <si>
    <t>林 菜月</t>
  </si>
  <si>
    <t>v2.1</t>
    <phoneticPr fontId="1"/>
  </si>
  <si>
    <t>["677"]</t>
  </si>
  <si>
    <t>["423"]</t>
  </si>
  <si>
    <t>["463", "459", "655", "691"]</t>
  </si>
  <si>
    <t>養生費・安全管理費</t>
  </si>
  <si>
    <t>水道工事上乗せ</t>
  </si>
  <si>
    <t>2022-08-09T18:50:01</t>
  </si>
  <si>
    <t>着工時</t>
    <phoneticPr fontId="1"/>
  </si>
  <si>
    <t>上棟時</t>
    <phoneticPr fontId="1"/>
  </si>
  <si>
    <t>引き渡し時</t>
    <phoneticPr fontId="1"/>
  </si>
  <si>
    <t>粗利益確認書の各項目の行数を10に統一</t>
    <rPh sb="0" eb="3">
      <t>アラリエキ</t>
    </rPh>
    <rPh sb="3" eb="5">
      <t>カクニン</t>
    </rPh>
    <rPh sb="5" eb="6">
      <t>ショ</t>
    </rPh>
    <rPh sb="7" eb="8">
      <t>カク</t>
    </rPh>
    <rPh sb="8" eb="10">
      <t>コウモク</t>
    </rPh>
    <rPh sb="11" eb="13">
      <t>ギョウスウ</t>
    </rPh>
    <rPh sb="17" eb="19">
      <t>トウイツ</t>
    </rPh>
    <phoneticPr fontId="1"/>
  </si>
  <si>
    <t>事前申請、事前確認ステータスを条件に追加</t>
    <rPh sb="0" eb="2">
      <t>ジゼン</t>
    </rPh>
    <rPh sb="2" eb="4">
      <t>シンセイ</t>
    </rPh>
    <rPh sb="5" eb="7">
      <t>ジゼン</t>
    </rPh>
    <rPh sb="7" eb="9">
      <t>カクニン</t>
    </rPh>
    <rPh sb="15" eb="17">
      <t>ジョウケン</t>
    </rPh>
    <rPh sb="18" eb="20">
      <t>ツイカ</t>
    </rPh>
    <phoneticPr fontId="1"/>
  </si>
  <si>
    <t>千葉中央営業所</t>
  </si>
  <si>
    <t>千葉県千葉市中央区富士見2-13-1</t>
  </si>
  <si>
    <t>047-114-2777</t>
  </si>
  <si>
    <t>043-301-2460</t>
  </si>
  <si>
    <t>相模原駅前ショールーム</t>
  </si>
  <si>
    <t>next20647</t>
  </si>
  <si>
    <t>kmjco34596</t>
  </si>
  <si>
    <t>林 真佐子</t>
  </si>
  <si>
    <t>next20648</t>
  </si>
  <si>
    <t>上野 昌彦</t>
  </si>
  <si>
    <t>next20649</t>
  </si>
  <si>
    <t>木内 恵</t>
  </si>
  <si>
    <t>test003</t>
  </si>
  <si>
    <t>テストユーザ３</t>
  </si>
  <si>
    <t>next20650</t>
  </si>
  <si>
    <t>西村 仁</t>
  </si>
  <si>
    <t>next20651</t>
  </si>
  <si>
    <t>佐藤 萌</t>
  </si>
  <si>
    <t>clev03652</t>
  </si>
  <si>
    <t>坂岡 紗季</t>
  </si>
  <si>
    <t>v2.2</t>
    <phoneticPr fontId="1"/>
  </si>
  <si>
    <t>クレバリーホーム千葉中央の諸元更新</t>
    <rPh sb="8" eb="12">
      <t>チバチュウオウ</t>
    </rPh>
    <rPh sb="13" eb="15">
      <t>ショゲン</t>
    </rPh>
    <rPh sb="15" eb="17">
      <t>コウシン</t>
    </rPh>
    <phoneticPr fontId="1"/>
  </si>
  <si>
    <t>マスターデータ更新</t>
    <rPh sb="7" eb="9">
      <t>コウシン</t>
    </rPh>
    <phoneticPr fontId="1"/>
  </si>
  <si>
    <t>省エネ性能ラベル・評価書</t>
    <phoneticPr fontId="1"/>
  </si>
  <si>
    <t>v2.3</t>
    <phoneticPr fontId="1"/>
  </si>
  <si>
    <t>お客様データ 【2】 117その他 → 省エネ性能ラベル・評価書</t>
    <rPh sb="1" eb="3">
      <t>キャクサマ</t>
    </rPh>
    <rPh sb="16" eb="17">
      <t>タ</t>
    </rPh>
    <phoneticPr fontId="1"/>
  </si>
  <si>
    <t>名称変更</t>
    <rPh sb="0" eb="4">
      <t>メイショウヘンコウ</t>
    </rPh>
    <phoneticPr fontId="1"/>
  </si>
  <si>
    <t>v2.4</t>
    <phoneticPr fontId="1"/>
  </si>
  <si>
    <t>お客様データ 【11】 146 外構プラン</t>
    <rPh sb="1" eb="3">
      <t>キャクサマ</t>
    </rPh>
    <rPh sb="16" eb="18">
      <t>ガイコウ</t>
    </rPh>
    <phoneticPr fontId="1"/>
  </si>
  <si>
    <t>新規追加</t>
    <rPh sb="0" eb="2">
      <t>シンキ</t>
    </rPh>
    <rPh sb="2" eb="4">
      <t>ツイカ</t>
    </rPh>
    <phoneticPr fontId="1"/>
  </si>
  <si>
    <t>外構プラン</t>
    <rPh sb="0" eb="2">
      <t>ガイコウ</t>
    </rPh>
    <phoneticPr fontId="1"/>
  </si>
  <si>
    <t>外構プラン</t>
    <rPh sb="0" eb="5">
      <t>ガイコ</t>
    </rPh>
    <phoneticPr fontId="1"/>
  </si>
  <si>
    <t>外構プラン</t>
    <rPh sb="0" eb="2">
      <t>ガイコウ</t>
    </rPh>
    <phoneticPr fontId="1"/>
  </si>
  <si>
    <t>Attachments146</t>
    <phoneticPr fontId="1"/>
  </si>
  <si>
    <t>確認済</t>
  </si>
  <si>
    <t>支払予定</t>
    <phoneticPr fontId="1"/>
  </si>
  <si>
    <t>横浜市青葉区美しが丘５丁目35-2</t>
  </si>
  <si>
    <t>インペリアルMビル406号</t>
  </si>
  <si>
    <t>アクティエ八王子・相模原SR</t>
  </si>
  <si>
    <t>立川アクティエ営業所</t>
  </si>
  <si>
    <t>ネクストハウス相模原SR</t>
  </si>
  <si>
    <t>神奈川県相模原市中央区相模原4-3-20</t>
  </si>
  <si>
    <t>リーデンススクエア相模原 101号</t>
  </si>
  <si>
    <t>042-707-1067</t>
  </si>
  <si>
    <t>立川ネクスト営業所</t>
  </si>
  <si>
    <t>イオンモール木更津 next住まいラウンジ</t>
  </si>
  <si>
    <t>イオンモール木更津店</t>
  </si>
  <si>
    <t>千葉県木更津市築地1-4</t>
  </si>
  <si>
    <t>イオンモール木更津内</t>
  </si>
  <si>
    <t>043-400-2780</t>
  </si>
  <si>
    <t>ネクストハウス木更津</t>
  </si>
  <si>
    <t>第2山崎ビル 7階A号室</t>
  </si>
  <si>
    <t>ネクストハウス市原</t>
  </si>
  <si>
    <t>クレバリーホーム藤枝</t>
  </si>
  <si>
    <t>GRAPH熊本</t>
  </si>
  <si>
    <t>GRAPH</t>
  </si>
  <si>
    <t>（閉鎖済み）アクティブハウス一宮</t>
  </si>
  <si>
    <t>アクティエ大府第一</t>
  </si>
  <si>
    <t>アクティエ大府第二</t>
  </si>
  <si>
    <t>【未使用】企画開発部</t>
  </si>
  <si>
    <t>【未使用】訪問看護ステーション</t>
  </si>
  <si>
    <t>【未使用】東京特販</t>
  </si>
  <si>
    <t>【未使用】オーガニックハウス駒沢</t>
  </si>
  <si>
    <t>リーガルFP事業部</t>
  </si>
  <si>
    <t>【未使用】財務</t>
  </si>
  <si>
    <t>マーケティング部</t>
  </si>
  <si>
    <t>東京・IC課</t>
  </si>
  <si>
    <t>東京・工務課</t>
  </si>
  <si>
    <t>東京・アフター課</t>
  </si>
  <si>
    <t>東京・リフォーム課</t>
  </si>
  <si>
    <t>【未使用】名古屋支社</t>
  </si>
  <si>
    <t>【未使用】アクティエ長久手</t>
  </si>
  <si>
    <t>【未使用】アクティエ岡崎</t>
  </si>
  <si>
    <t>愛知・工務課</t>
  </si>
  <si>
    <t>【未使用】愛知特販</t>
  </si>
  <si>
    <t>愛知・IC課</t>
  </si>
  <si>
    <t>愛知・アフター課</t>
  </si>
  <si>
    <t>【未使用】アクティブハウス一宮</t>
  </si>
  <si>
    <t>君津住宅藤沢店</t>
  </si>
  <si>
    <t>【未使用】不動産開発投資営業部</t>
  </si>
  <si>
    <t>【未使用】FC事業本部</t>
  </si>
  <si>
    <t>【未使用】業務管理課</t>
  </si>
  <si>
    <t>【未使用】愛知分譲・仕入れ</t>
  </si>
  <si>
    <t>愛知・設計課</t>
  </si>
  <si>
    <t>【未使用】ケアセブン居宅介護</t>
  </si>
  <si>
    <t>君津・総務経理課</t>
  </si>
  <si>
    <t>千葉・不動産課</t>
  </si>
  <si>
    <t>立川</t>
  </si>
  <si>
    <t>【未使用】ネクストハウス青葉の森店</t>
  </si>
  <si>
    <t>【未使用】君津住宅 企画課</t>
  </si>
  <si>
    <t>千葉・アフター課</t>
  </si>
  <si>
    <t>【未使用】君津住宅 積算課</t>
  </si>
  <si>
    <t>千葉・工務課</t>
  </si>
  <si>
    <t>千葉・設計IC課</t>
  </si>
  <si>
    <t>東京・設計課</t>
  </si>
  <si>
    <t>【未使用】愛知リフォーム課</t>
  </si>
  <si>
    <t>【未使用】君津住宅 分譲・仕入れ</t>
  </si>
  <si>
    <t>ネクストイノベーション不動産</t>
  </si>
  <si>
    <t>該当無し</t>
  </si>
  <si>
    <t>退職済み</t>
  </si>
  <si>
    <t>10103c</t>
  </si>
  <si>
    <t>競売不動産業務課</t>
  </si>
  <si>
    <t>山下克典</t>
  </si>
  <si>
    <t>(退職) 杉 由宇子</t>
  </si>
  <si>
    <t>(退職) 大囿 邦暁</t>
  </si>
  <si>
    <t>(退職) 川名 淳夫</t>
  </si>
  <si>
    <t>(退職) 栄 正人</t>
  </si>
  <si>
    <t>(退職) 齊藤 亜耶</t>
  </si>
  <si>
    <t>(退職) 北條 久雄</t>
  </si>
  <si>
    <t>(退職) 矢部 仁恵</t>
  </si>
  <si>
    <t>(退職) 福万 明子</t>
  </si>
  <si>
    <t>(退職) 後藤 義明</t>
  </si>
  <si>
    <t>(退職) 亀井 剛</t>
  </si>
  <si>
    <t>(退職) 大野 友和</t>
  </si>
  <si>
    <t>(退職) 京谷 侑香</t>
  </si>
  <si>
    <t>(退職) 柴田 崇志</t>
  </si>
  <si>
    <t>(退職) 小此木 竜征</t>
  </si>
  <si>
    <t>(退職) 長倉 顕二郎</t>
  </si>
  <si>
    <t>(退職) 坪谷 和彦</t>
  </si>
  <si>
    <t>(退職) 平栗 有希</t>
  </si>
  <si>
    <t>(退職) 岡田 篤士</t>
  </si>
  <si>
    <t>(退職) 今野 大助</t>
  </si>
  <si>
    <t>(退職) 岩屋 真知</t>
  </si>
  <si>
    <t>(退職) 吉田 竜平</t>
  </si>
  <si>
    <t>(退職) 富田 峻輔</t>
  </si>
  <si>
    <t>(退職) 吉安 孝幸</t>
  </si>
  <si>
    <t>(退職) 奥 政利</t>
  </si>
  <si>
    <t>(退職) 下田 宇一</t>
  </si>
  <si>
    <t>(退職) 西原 真司</t>
  </si>
  <si>
    <t>(退職) 一瀬 哲也</t>
  </si>
  <si>
    <t>(退職) 五十嵐 政史</t>
  </si>
  <si>
    <t>(退職) 齊木 晃司</t>
  </si>
  <si>
    <t>(退職) 高橋 みのり</t>
  </si>
  <si>
    <t>(退職) 宮﨑 眞吾</t>
  </si>
  <si>
    <t>(退職) 白川 里紗</t>
  </si>
  <si>
    <t>(退職) 伊藤 信清</t>
  </si>
  <si>
    <t>(退職) 根田 圭介</t>
  </si>
  <si>
    <t>(退職) 亀田 尚子</t>
  </si>
  <si>
    <t>(退職) 關 彩</t>
  </si>
  <si>
    <t>(退職) 長田 優子</t>
  </si>
  <si>
    <t>(退職) 作本 綾乃</t>
  </si>
  <si>
    <t>(退職) 赤木 芙美子</t>
  </si>
  <si>
    <t>(退職) 村上 薫</t>
  </si>
  <si>
    <t>(退職) 戸井田 勇弥</t>
  </si>
  <si>
    <t>(退職) 山根 徳仁</t>
  </si>
  <si>
    <t>(退職) 梅田 香織</t>
  </si>
  <si>
    <t>(退職) 横井 葉月</t>
  </si>
  <si>
    <t>(退職) 林 蓮</t>
  </si>
  <si>
    <t>(退職) 高橋 茉由子</t>
  </si>
  <si>
    <t>(退職) 内田 哲哉</t>
  </si>
  <si>
    <t>(退職) 篠原 薫平</t>
  </si>
  <si>
    <t>(退職) 佐藤 博信</t>
  </si>
  <si>
    <t>(退職) 下牧 明美</t>
  </si>
  <si>
    <t>(退職) 伏見 友紀</t>
  </si>
  <si>
    <t>(退職) 志賀 よしみ</t>
  </si>
  <si>
    <t>(退職) 松本 郁</t>
  </si>
  <si>
    <t>(退職) 大野 潤</t>
  </si>
  <si>
    <t>(退職) 松本 萌乃</t>
  </si>
  <si>
    <t>(退職) 小林 春美</t>
  </si>
  <si>
    <t>(退職) 田中 弥生</t>
  </si>
  <si>
    <t>(退職) 鈴木 篤</t>
  </si>
  <si>
    <t>(退職) 千葉 玲香</t>
  </si>
  <si>
    <t>(退職) 田﨑 浩之</t>
  </si>
  <si>
    <t>(退職) 飯塚 栄幸</t>
  </si>
  <si>
    <t>(退職) 白澤 智昌</t>
  </si>
  <si>
    <t>(退職) 小林 まゆみ</t>
  </si>
  <si>
    <t>(退職) 大野 祐美</t>
  </si>
  <si>
    <t>(退職) 塩谷 武志</t>
  </si>
  <si>
    <t>(退職) 上原 二郎</t>
  </si>
  <si>
    <t>(退職) アーロン</t>
  </si>
  <si>
    <t>(退職) 高橋 葉子</t>
  </si>
  <si>
    <t>(退職) 前野 貴子</t>
  </si>
  <si>
    <t>(退職) 日野田 小百合</t>
  </si>
  <si>
    <t>(退職) 山﨑 美優</t>
  </si>
  <si>
    <t>(退職) 伊藤 伸二</t>
  </si>
  <si>
    <t>(退職) 長島 翔</t>
  </si>
  <si>
    <t>(退職) 佐々木 徹</t>
  </si>
  <si>
    <t>(退職) 芳賀 章</t>
  </si>
  <si>
    <t>(退職) 山本 和央</t>
  </si>
  <si>
    <t>(退職) 中里 光秀</t>
  </si>
  <si>
    <t>(退職) 松尾 祐里</t>
  </si>
  <si>
    <t>(退職) 櫨木 雄大</t>
  </si>
  <si>
    <t>(退職) 竹下 汐乃</t>
  </si>
  <si>
    <t>(退職) 神谷 さや香</t>
  </si>
  <si>
    <t>(退職) 玉井 一哉</t>
  </si>
  <si>
    <t>(退職) 宮川 麻美</t>
  </si>
  <si>
    <t>(退職) 山本 真紗子</t>
  </si>
  <si>
    <t>(退職) 松下 智昭</t>
  </si>
  <si>
    <t>(退職) 山田 聖子</t>
  </si>
  <si>
    <t>(退職) 佐々木 恒</t>
  </si>
  <si>
    <t>(退職) 東 智夏</t>
  </si>
  <si>
    <t>(退職) 伊藤 利憲</t>
  </si>
  <si>
    <t>(退職) 清水 孝太</t>
  </si>
  <si>
    <t>(退職) 三田村 香織</t>
  </si>
  <si>
    <t>(退職) 吉田 佳織</t>
  </si>
  <si>
    <t>(退職) 澤幡 義克</t>
  </si>
  <si>
    <t>(退職) 木村 璃久</t>
  </si>
  <si>
    <t>(退職) 河村 さやか</t>
  </si>
  <si>
    <t>(退職) 内山 裕美</t>
  </si>
  <si>
    <t>(退職) 千倉 拓馬</t>
  </si>
  <si>
    <t>(退職) 田村 雄一郎</t>
  </si>
  <si>
    <t>(退職) 岩沢 康平</t>
  </si>
  <si>
    <t>(退職) 山口 輝幸</t>
  </si>
  <si>
    <t>(退職) 吉永 志帆</t>
  </si>
  <si>
    <t>(退職) 竹内 貴美子</t>
  </si>
  <si>
    <t>（休職中）廣島 法子</t>
  </si>
  <si>
    <t>(退職) 磯部 実悠</t>
  </si>
  <si>
    <t>(退職) 落合 大地</t>
  </si>
  <si>
    <t>(退職) 河野 正明</t>
  </si>
  <si>
    <t>(退職) 鈴木 卓</t>
  </si>
  <si>
    <t>(退職) 久保田 怜奈</t>
  </si>
  <si>
    <t>(退職) 水野 志麻子</t>
  </si>
  <si>
    <t>(退職) 三橋 謙</t>
  </si>
  <si>
    <t>(退職) 花野井 竣</t>
  </si>
  <si>
    <t>(退職) 市原 里紗</t>
  </si>
  <si>
    <t>(退職) 江島 リエ</t>
  </si>
  <si>
    <t>(退職) 熊木 さやか</t>
  </si>
  <si>
    <t>(退職) 石上 伸一</t>
  </si>
  <si>
    <t>(退職) 原田 輝明</t>
  </si>
  <si>
    <t>(退職) 岡田 政志</t>
  </si>
  <si>
    <t>(退職) 清長 寛子</t>
  </si>
  <si>
    <t>(退職) 青松 泰子</t>
  </si>
  <si>
    <t>(退職) 水野 源司</t>
  </si>
  <si>
    <t>(退職) 小川 由紀子</t>
  </si>
  <si>
    <t>(退職) 藤原 達弘</t>
  </si>
  <si>
    <t>(退職) 美野 聖紀</t>
  </si>
  <si>
    <t>(退職) 川本 隆之</t>
  </si>
  <si>
    <t>(退職) 水本 花歩</t>
  </si>
  <si>
    <t>(退職) 冨田 遥</t>
  </si>
  <si>
    <t>(退職) 新井 清菜</t>
  </si>
  <si>
    <t>(退職) 荒崎 チアゴ</t>
  </si>
  <si>
    <t>(退職) 藤井 佑華</t>
  </si>
  <si>
    <t>(退職) 山元 裕子</t>
  </si>
  <si>
    <t>(退職) 太田 舞香</t>
  </si>
  <si>
    <t>(退職) 中島 淳</t>
  </si>
  <si>
    <t>(退職) 小林 優子</t>
  </si>
  <si>
    <t>(退職) 森山 直</t>
  </si>
  <si>
    <t>(退職) 佐藤 久顕</t>
  </si>
  <si>
    <t>(退職) 中西 彩心</t>
  </si>
  <si>
    <t>(退職) 千葉 昌弘</t>
  </si>
  <si>
    <t>(退職) 石川 智彦</t>
  </si>
  <si>
    <t>(退職) 堀口 一真</t>
  </si>
  <si>
    <t>(退職) 中関 優衣</t>
  </si>
  <si>
    <t>(退職) 中島 絵美</t>
  </si>
  <si>
    <t>(退職) 清水 恵理</t>
  </si>
  <si>
    <t>(退職) 上野 和</t>
  </si>
  <si>
    <t>(退職) 井坂 愛</t>
  </si>
  <si>
    <t>(退職) 権 朱莉</t>
  </si>
  <si>
    <t>(退職) 宮内 茜</t>
  </si>
  <si>
    <t>(退職) 小坂 守映</t>
  </si>
  <si>
    <t>(退職) 畠中 秀樹</t>
  </si>
  <si>
    <t>(退職) 小林 絵美</t>
  </si>
  <si>
    <t>(退職) 赤松 聡</t>
  </si>
  <si>
    <t>(退職) 南 宗二郎</t>
  </si>
  <si>
    <t>(退職) 横塚 憲子</t>
  </si>
  <si>
    <t>(退職) 菅谷 裕美</t>
  </si>
  <si>
    <t>(退職) 星野 久美子</t>
  </si>
  <si>
    <t>(退職) 原 毅</t>
  </si>
  <si>
    <t>(退職) 佐藤 岳志</t>
  </si>
  <si>
    <t>(退職) 安田 正史</t>
  </si>
  <si>
    <t>(退職) 髙橋 春香</t>
  </si>
  <si>
    <t>(退職) 近藤 重美</t>
  </si>
  <si>
    <t>(退職) 金田 愛生</t>
  </si>
  <si>
    <t>(退職) 中尾 文哉</t>
  </si>
  <si>
    <t>(退職) 中村 涼香</t>
  </si>
  <si>
    <t>(退職) 端岡 悠乃</t>
  </si>
  <si>
    <t>(退職) 松本 隼</t>
  </si>
  <si>
    <t>(退職) 山﨑 友希</t>
  </si>
  <si>
    <t>(退職) 松木 恵美</t>
  </si>
  <si>
    <t>(退職) 加藤 憲子</t>
  </si>
  <si>
    <t>(退職) 山﨑 修</t>
  </si>
  <si>
    <t>(退職) 佐藤 淳</t>
  </si>
  <si>
    <t>(退職) 高橋 明美</t>
  </si>
  <si>
    <t>(退職) 外山 貴慎</t>
  </si>
  <si>
    <t>(退職) 河井 寛陽</t>
  </si>
  <si>
    <t>(退職) 藤澤 康博</t>
  </si>
  <si>
    <t>(退職) 小石 晴海</t>
  </si>
  <si>
    <t>(退職) 半沢 好則</t>
  </si>
  <si>
    <t>(退職) 持地 真由美</t>
  </si>
  <si>
    <t>（退職済み）中村 友里</t>
  </si>
  <si>
    <t>(退職) 堀田 ゆかり</t>
  </si>
  <si>
    <t>(退職) 稲垣 奈美</t>
  </si>
  <si>
    <t>(退職) 石橋 和範</t>
  </si>
  <si>
    <t>(退職) 杉野 徹</t>
  </si>
  <si>
    <t>(退職) 西山 淑美</t>
  </si>
  <si>
    <t>next20653</t>
  </si>
  <si>
    <t>(退職) 奥村 祐未</t>
  </si>
  <si>
    <t>next20654</t>
  </si>
  <si>
    <t>森 久恵</t>
  </si>
  <si>
    <t>next20657</t>
  </si>
  <si>
    <t>安藤 哲也</t>
  </si>
  <si>
    <t>kmjco34597</t>
  </si>
  <si>
    <t>石川 和久</t>
  </si>
  <si>
    <t>next20655</t>
  </si>
  <si>
    <t>鈴木 孝征</t>
  </si>
  <si>
    <t>next20658</t>
  </si>
  <si>
    <t>八木 重樹</t>
  </si>
  <si>
    <t>next20659</t>
  </si>
  <si>
    <t>堤 正行</t>
  </si>
  <si>
    <t>next20660</t>
  </si>
  <si>
    <t>（退職）平島 大輔</t>
  </si>
  <si>
    <t>kmjco34598</t>
  </si>
  <si>
    <t>仲村 駿佑</t>
  </si>
  <si>
    <t>kmjco34599</t>
  </si>
  <si>
    <t>加藤 芽美</t>
  </si>
  <si>
    <t>rui@fitphp</t>
  </si>
  <si>
    <t>ルイ</t>
  </si>
  <si>
    <t>next20661</t>
  </si>
  <si>
    <t>竜嶽 沙里</t>
  </si>
  <si>
    <t>next99999</t>
  </si>
  <si>
    <t>next21662</t>
  </si>
  <si>
    <t>岡富 道子</t>
  </si>
  <si>
    <t>next21671</t>
  </si>
  <si>
    <t>堀田 信弘</t>
  </si>
  <si>
    <t>kmjco35600</t>
  </si>
  <si>
    <t>鈴木 亜菫</t>
  </si>
  <si>
    <t>kmjco35601</t>
  </si>
  <si>
    <t>深貝 俊介</t>
  </si>
  <si>
    <t>next21663</t>
  </si>
  <si>
    <t>一笠 旭輝</t>
  </si>
  <si>
    <t>next21664</t>
  </si>
  <si>
    <t>金田 樹</t>
  </si>
  <si>
    <t>next21665</t>
  </si>
  <si>
    <t>小菅 一憲</t>
  </si>
  <si>
    <t>next21666</t>
  </si>
  <si>
    <t>鈴木 梨紗都</t>
  </si>
  <si>
    <t>next21667</t>
  </si>
  <si>
    <t>千田 音緒</t>
  </si>
  <si>
    <t>next21668</t>
  </si>
  <si>
    <t>田中 結菜</t>
  </si>
  <si>
    <t>next21669</t>
  </si>
  <si>
    <t>宮原 冬羽</t>
  </si>
  <si>
    <t>next21670</t>
  </si>
  <si>
    <t>清水 芳野香</t>
  </si>
  <si>
    <t>next21672</t>
  </si>
  <si>
    <t>上之園 惠子</t>
  </si>
  <si>
    <t>next21673</t>
  </si>
  <si>
    <t>池上 恵子</t>
  </si>
  <si>
    <t>next21674</t>
  </si>
  <si>
    <t>永淵 桜</t>
  </si>
  <si>
    <t>next21675</t>
  </si>
  <si>
    <t>本田 良輔</t>
  </si>
  <si>
    <t>next21676</t>
  </si>
  <si>
    <t>奥村 美夏</t>
  </si>
  <si>
    <t>systemadmin@eco-ntk.com</t>
  </si>
  <si>
    <t>toyokura@next-hd.co.jp</t>
  </si>
  <si>
    <t>sugiyama@next-hd.co.jp</t>
  </si>
  <si>
    <t>kawana@next-hd.co.jp</t>
  </si>
  <si>
    <t>y.koike@cleverlyhome.jp</t>
  </si>
  <si>
    <t>s.goto@next-hd.co.jp</t>
  </si>
  <si>
    <t>k.endo@next-hd.co.jp</t>
  </si>
  <si>
    <t>h.nakamura@next-hd.co.jp</t>
  </si>
  <si>
    <t>h.kato@next-hd.co.jp</t>
  </si>
  <si>
    <t>n.hasegawa@next-hd.co.jp</t>
  </si>
  <si>
    <t>k.nogi@next-hd.co.jp</t>
  </si>
  <si>
    <t>y.yamada@next-hd.co.jp</t>
  </si>
  <si>
    <t>k.matsui@next-hd.co.jp</t>
  </si>
  <si>
    <t>e.toyokura@next-hd.co.jp</t>
  </si>
  <si>
    <t>h.sato@next-hd.co.jp</t>
  </si>
  <si>
    <t>h.matsubara@next-hd.co.jp</t>
  </si>
  <si>
    <t>t.mutoh@next-hd.co.jp</t>
  </si>
  <si>
    <t>t.shinoduka@fitjpn.com</t>
  </si>
  <si>
    <t>n.tomita@next-hd.co.jp</t>
  </si>
  <si>
    <t>a.kawamura@next-hd.co.jp</t>
  </si>
  <si>
    <t>k.yamashita@next-hd.co.jp</t>
  </si>
  <si>
    <t>a.sano@next-hd.co.jp</t>
  </si>
  <si>
    <t>y.maeda@next-hd.co.jp</t>
  </si>
  <si>
    <t>k.miyairi@next-hd.co.jp</t>
  </si>
  <si>
    <t>n.watabe@next-hd.co.jp</t>
  </si>
  <si>
    <t>s.udo@next-hd.co.jp</t>
  </si>
  <si>
    <t>a.hayakawa@next-hd.co.jp</t>
  </si>
  <si>
    <t>k.ikedo@next-hd.co.jp</t>
  </si>
  <si>
    <t>m.hino@next-hd.co.jp</t>
  </si>
  <si>
    <t>y.morishita@next-hd.co.jp</t>
  </si>
  <si>
    <t>m.karikomi@next-hd.co.jp</t>
  </si>
  <si>
    <t>kenji.yamamoto@next-hd.co.jp</t>
  </si>
  <si>
    <t>kotake@next-hd.co.jp</t>
  </si>
  <si>
    <t>d.tanaka@next-hd.co.jp</t>
  </si>
  <si>
    <t>a.toume@next-hd.co.jp</t>
  </si>
  <si>
    <t>ma.matsumoto@next-hd.co.jp</t>
  </si>
  <si>
    <t>h.yamazaki@next-hd.co.jp</t>
  </si>
  <si>
    <t>s.uchida@next-hd.co.jp</t>
  </si>
  <si>
    <t>hatano@next-hd.co.jp</t>
  </si>
  <si>
    <t>t.koori@next-hd.co.jp</t>
  </si>
  <si>
    <t>i.karasawa@next-hd.co.jp</t>
  </si>
  <si>
    <t>c.horikawa@next-hd.co.jp</t>
  </si>
  <si>
    <t>suzuki.h@next-hd.co.jp</t>
  </si>
  <si>
    <t>n.ichikawa@next-hd.co.jp</t>
  </si>
  <si>
    <t>e.takata@next-hd.co.jp</t>
  </si>
  <si>
    <t>fukushima@next-hd.co.jp</t>
  </si>
  <si>
    <t>k.ito@next-hd.co.jp</t>
  </si>
  <si>
    <t>n.marui@next-hd.co.jp</t>
  </si>
  <si>
    <t>t.harada@next-hd.co.jp</t>
  </si>
  <si>
    <t>y.iritani@next-hd.co.jp</t>
  </si>
  <si>
    <t>m.takahashi@next-hd.co.jp</t>
  </si>
  <si>
    <t>a.sobu@next-hd.co.jp</t>
  </si>
  <si>
    <t>m.adachi@next-hd.co.jp</t>
  </si>
  <si>
    <t>n.tanaka@next-hd.co.jp</t>
  </si>
  <si>
    <t>kurihara@next-hd.co.jp</t>
  </si>
  <si>
    <t>n.kokaku@next-hd.co.jp</t>
  </si>
  <si>
    <t>k.toujyo@next-hd.co.jp</t>
  </si>
  <si>
    <t>t.watanabe@next-hd.co.jp</t>
  </si>
  <si>
    <t>t.saito@next-hd.co.jp</t>
  </si>
  <si>
    <t>n.tsuyuzaki@next-hd.co.jp</t>
  </si>
  <si>
    <t>n.ishida@next-hd.co.jp</t>
  </si>
  <si>
    <t>hasegawa@next-hd.co.jp</t>
  </si>
  <si>
    <t>s.nakanishi@next-hd.co.jp</t>
  </si>
  <si>
    <t>r.shimamura@next-hd.co.jp</t>
  </si>
  <si>
    <t>r.kawakami@next-hd.co.jp</t>
  </si>
  <si>
    <t>m.suwa@next-hd.co.jp</t>
  </si>
  <si>
    <t>k.nogi@eco-ntk.com</t>
  </si>
  <si>
    <t>m.tamai@next-hd.co.jp</t>
  </si>
  <si>
    <t>y.miyakura@next-hd.co.jp</t>
  </si>
  <si>
    <t>t.otsuka@next-hd.co.jp</t>
  </si>
  <si>
    <t>j.tagami@next-hd.co.jp</t>
  </si>
  <si>
    <t>k.shimura@next-hd.co.jp</t>
  </si>
  <si>
    <t>m.sugiura@next-hd.co.jp</t>
  </si>
  <si>
    <t>t.kijima@next-hd.co.jp</t>
  </si>
  <si>
    <t>y.morita@next-hd.co.jp</t>
  </si>
  <si>
    <t>h.hase@next-hd.co.jp</t>
  </si>
  <si>
    <t>k.agata@next-hd.co.jp</t>
  </si>
  <si>
    <t>h.uno@next-hd.co.jp</t>
  </si>
  <si>
    <t>t.hirakawa@next-hd.co.jp</t>
  </si>
  <si>
    <t>h.fujita@next-hd.co.jp</t>
  </si>
  <si>
    <t>h.ubukata@next-hd.co.jp</t>
  </si>
  <si>
    <t>k.watanabe@next-hd.co.jp</t>
  </si>
  <si>
    <t>t.umezawa@next-hd.co.jp</t>
  </si>
  <si>
    <t>k.tani@next-hd.co.jp</t>
  </si>
  <si>
    <t>d.mizoguchi@next-hd.co.jp</t>
  </si>
  <si>
    <t>m.kubo@next-hd.co.jp</t>
  </si>
  <si>
    <t>y.tanaka@next-hd.co.jp</t>
  </si>
  <si>
    <t>k.nakamura@next-hd.co.jp</t>
  </si>
  <si>
    <t>k.yoshida@next-hd.co.jp</t>
  </si>
  <si>
    <t>s.sakyou@next-hd.co.jp</t>
  </si>
  <si>
    <t>c.sugawara@next-hd.co.jp</t>
  </si>
  <si>
    <t>h.abe@next-hd.co.jp</t>
  </si>
  <si>
    <t>k.muto@next-hd.co.jp</t>
  </si>
  <si>
    <t>r.morita@next-hd.co.jp</t>
  </si>
  <si>
    <t>g.machida@next-hd.co.jp</t>
  </si>
  <si>
    <t>y.minamikawa@next-hd.co.jp</t>
  </si>
  <si>
    <t>k.mateno@next-hd.co.jp</t>
  </si>
  <si>
    <t>s.aoki@next-hd.co.jp</t>
  </si>
  <si>
    <t>c.kanai@next-hd.co.jp</t>
  </si>
  <si>
    <t>a.inokawa@cleverlyhome.jp</t>
  </si>
  <si>
    <t>t.fujii@cleverlyhome.jp</t>
  </si>
  <si>
    <t>r.yoshimura@cleverlyhome.jp</t>
  </si>
  <si>
    <t>y.hotta@next-hd.co.jp</t>
  </si>
  <si>
    <t>k.kano@next-hd.co.jp</t>
  </si>
  <si>
    <t>m.yokoi@fitjpn.com</t>
  </si>
  <si>
    <t>m.suzuki@fitjpn.com</t>
  </si>
  <si>
    <t>m.matsuoka@next-hd.co.jp</t>
  </si>
  <si>
    <t>r.ito@next-hd.co.jp</t>
  </si>
  <si>
    <t>tadayuki.gorai@next-hd.co.jp</t>
  </si>
  <si>
    <t>mamiko.nakamura@next-hd.co.jp</t>
  </si>
  <si>
    <t>eri.sato@next-hd.co.jp</t>
  </si>
  <si>
    <t>y.takaki@next-hd.co.jp</t>
  </si>
  <si>
    <t>r.hosoi@next-hd.co.jp</t>
  </si>
  <si>
    <t>k.yamanouchi@next-hd.co.jp</t>
  </si>
  <si>
    <t>ayaka.io@nextinnovation.co.jp</t>
  </si>
  <si>
    <t>t.ashida@next-hd.co.jp</t>
  </si>
  <si>
    <t>m.fushimi@next-hd.co.jp</t>
  </si>
  <si>
    <t>r.yamada@next-hd.co.jp</t>
  </si>
  <si>
    <t>k.fujinaga@next-hd.co.jp</t>
  </si>
  <si>
    <t>r.kato@next-hd.co.jp</t>
  </si>
  <si>
    <t>n.igarashi@next-hd.co.jp</t>
  </si>
  <si>
    <t>m.hamazaki@next-hd.co.jp</t>
  </si>
  <si>
    <t>s.tanaka@next-hd.co.jp</t>
  </si>
  <si>
    <t>a.yokobatake@next-hd.co.jp</t>
  </si>
  <si>
    <t>y.takai@next-hd.co.jp</t>
  </si>
  <si>
    <t>e.tanaka@next-hd.co.jp</t>
  </si>
  <si>
    <t>imai@next-hd.co.jp</t>
  </si>
  <si>
    <t>miyashita@next-hd.co.jp</t>
  </si>
  <si>
    <t>n.kanamori@next-hd.co.jp</t>
  </si>
  <si>
    <t>h.tanooka@next-hd.co.jp</t>
  </si>
  <si>
    <t>s.kanai@next-hd.co.jp</t>
  </si>
  <si>
    <t>s.kadomoto@next-hd.co.jp</t>
  </si>
  <si>
    <t>h.yoshida@next-hd.co.jp</t>
  </si>
  <si>
    <t>n.ishiguro@next-hd.co.jp</t>
  </si>
  <si>
    <t>y.endo@next-hd.co.jp</t>
  </si>
  <si>
    <t>t.hino@next-hd.co.jp</t>
  </si>
  <si>
    <t>o.tabaru@next-hd.co.jp</t>
  </si>
  <si>
    <t>kurokawa@next-hd.co.jp</t>
  </si>
  <si>
    <t>s.kosaka@next-hd.co.jp</t>
  </si>
  <si>
    <t>haruki.sato@next-hd.co.jp</t>
  </si>
  <si>
    <t>n.arai@next-hd.co.jp</t>
  </si>
  <si>
    <t>h.kawaseki@next-hd.co.jp</t>
  </si>
  <si>
    <t>t.nakajima@next-hd.co.jp</t>
  </si>
  <si>
    <t>nishikawa.arc@nifty.com</t>
  </si>
  <si>
    <t>k.masada@next-hd.co.jp</t>
  </si>
  <si>
    <t>n.nakamura@next-hd.co.jp</t>
  </si>
  <si>
    <t>toshimichi.saito@next-hd.co.jp</t>
  </si>
  <si>
    <t>t.hayashi@next-hd.co.jp</t>
  </si>
  <si>
    <t>e.yokoi@next-hd.co.jp</t>
  </si>
  <si>
    <t>m.kajii@next-hd.co.jp</t>
  </si>
  <si>
    <t>t.okada@next-hd.co.jp</t>
  </si>
  <si>
    <t>t.kitamura@next-hd.co.jp</t>
  </si>
  <si>
    <t>y.sakurai@next-hd.co.jp</t>
  </si>
  <si>
    <t>y.takasu@next-hd.co.jp</t>
  </si>
  <si>
    <t>y.nakamoto@next-hd.co.jp</t>
  </si>
  <si>
    <t>s.matsuda@next-hd.co.jp</t>
  </si>
  <si>
    <t>t.goto@next-hd.co.jp</t>
  </si>
  <si>
    <t>t.endo@next-hd.co.jp</t>
  </si>
  <si>
    <t>n.kumagai@next-hd.co.jp</t>
  </si>
  <si>
    <t>m.fukatsu@next-hd.co.jp</t>
  </si>
  <si>
    <t>yoshino@next-hd.co.jp</t>
  </si>
  <si>
    <t>n.shinbo@next-hd.co.jp</t>
  </si>
  <si>
    <t>iwamoto@next-hd.co.jp</t>
  </si>
  <si>
    <t>k.takita@next-hd.co.jp</t>
  </si>
  <si>
    <t>okada@next-hd.co.jp</t>
  </si>
  <si>
    <t>n.kondo@next-hd.co.jp</t>
  </si>
  <si>
    <t>r.kudo@next-hd.co.jp</t>
  </si>
  <si>
    <t>sakamaki@next-hd.co.jp</t>
  </si>
  <si>
    <t>m.munakata@next-hd.co.jp</t>
  </si>
  <si>
    <t>yamauchi@next-hd.co.jp</t>
  </si>
  <si>
    <t>m.ishiguro@next-hd.co.jp</t>
  </si>
  <si>
    <t>n.hiroshima@kimijyu.co.jp</t>
  </si>
  <si>
    <t>inoue@next-hd.co.jp</t>
  </si>
  <si>
    <t>n.muto@next-hd.co.jp</t>
  </si>
  <si>
    <t>k.takayama@next-hd.co.jp</t>
  </si>
  <si>
    <t>ogawa@next-hd.co.jp</t>
  </si>
  <si>
    <t>e.ueno@next-hd.co.jp</t>
  </si>
  <si>
    <t>a.yamaguchi@next-hd.co.jp</t>
  </si>
  <si>
    <t>ny.ito@next-hd.co.jp</t>
  </si>
  <si>
    <t>m.hayashi@next-hd.co.jp</t>
  </si>
  <si>
    <t>k.takanashi@next-hd.co.jp</t>
  </si>
  <si>
    <t>to.yamaguchi@next-hd.co.jp</t>
  </si>
  <si>
    <t>s.sugahara@next-hd.co.jp</t>
  </si>
  <si>
    <t>h.ueda@next-hd.co.jp</t>
  </si>
  <si>
    <t>aida@next-hd.co.jp</t>
  </si>
  <si>
    <t>ruth@next-hd.co.jp</t>
  </si>
  <si>
    <t>m.igeta@next-hd.co.jp</t>
  </si>
  <si>
    <t>s.oouchi@next-hd.co.jp</t>
  </si>
  <si>
    <t>s.aoji@a-graph.co.jp</t>
  </si>
  <si>
    <t>h.kohara@next-hd.co.jp</t>
  </si>
  <si>
    <t>k.miyata@next-hd.co.jp</t>
  </si>
  <si>
    <t>r.tabuchi@next-hd.co.jp</t>
  </si>
  <si>
    <t>t.koiwa@next-hd.co.jp</t>
  </si>
  <si>
    <t>y.yamaga@next-hd.co.jp</t>
  </si>
  <si>
    <t>m.hosaka@next-hd.co.jp</t>
  </si>
  <si>
    <t>s.ishii@next-hd.co.jp</t>
  </si>
  <si>
    <t>t.yamaguchi@next-hd.co.jp</t>
  </si>
  <si>
    <t>s.onishi@next-hd.co.jp</t>
  </si>
  <si>
    <t>yuka.someya@next-hd.co.jp</t>
  </si>
  <si>
    <t>s.sakamaki@next-hd.co.jp</t>
  </si>
  <si>
    <t>k.tachikawa@next-hd.co.jp</t>
  </si>
  <si>
    <t>n.oohama@cleverlyhome.jp</t>
  </si>
  <si>
    <t>s.kawaai@next-hd.co.jp</t>
  </si>
  <si>
    <t>s.matsui@next-hd.co.jp</t>
  </si>
  <si>
    <t>m.asami@next-hd.co.jp</t>
  </si>
  <si>
    <t>y.yamakawa@next-hd.co.jp</t>
  </si>
  <si>
    <t>y.konishi@next-hd.co.jp</t>
  </si>
  <si>
    <t>naoki.sato@fitjpn.com</t>
  </si>
  <si>
    <t>m.watanabe@next-hd.co.jp</t>
  </si>
  <si>
    <t>y.inaba@a-graph.co.jp</t>
  </si>
  <si>
    <t>t.nakamura@a-graph.co.jp</t>
  </si>
  <si>
    <t>ri.sanjin@next-hd.co.jp</t>
  </si>
  <si>
    <t>s.noguchi@next-hd.co.jp</t>
  </si>
  <si>
    <t>s.niinuma@next-hd.co.jp</t>
  </si>
  <si>
    <t>m.mori@next-hd.co.jp</t>
  </si>
  <si>
    <t>t.kato@next-hd.co.jp</t>
  </si>
  <si>
    <t>k.ono@next-hd.co.jp</t>
  </si>
  <si>
    <t>n.kataoka@next-hd.co.jp</t>
  </si>
  <si>
    <t>s.nakagawa@next-hd.co.jp</t>
  </si>
  <si>
    <t>s.ogasawara@next-hd.co.jp</t>
  </si>
  <si>
    <t>marinelle.garcia@next-hd.co.jp</t>
  </si>
  <si>
    <t>k.yamanashi@next-hd.co.jp</t>
  </si>
  <si>
    <t>y.kobayashi@next-hd.co.jp</t>
  </si>
  <si>
    <t>systemadmin@next-hd.co.jp</t>
  </si>
  <si>
    <t>a.furuuchi@next-hd.co.jp</t>
  </si>
  <si>
    <t>k.abe@next-hd.co.jp</t>
  </si>
  <si>
    <t>d.ikeda@next-hd.co.jp</t>
  </si>
  <si>
    <t>c.sato@next-hd.co.jp</t>
  </si>
  <si>
    <t>s.sueki@next-hd.co.jp</t>
  </si>
  <si>
    <t>h.suzuki@next-hd.co.jp</t>
  </si>
  <si>
    <t>s.okamoto@next-hd.co.jp</t>
  </si>
  <si>
    <t>m.naito@next-hd.co.jp</t>
  </si>
  <si>
    <t>s.enomoto@next-hd.co.jp</t>
  </si>
  <si>
    <t>m.aoyagi@next-hd.co.jp</t>
  </si>
  <si>
    <t>n.tabuchi@next-hd.co.jp</t>
  </si>
  <si>
    <t>k.matsumura@next-hd.co.jp</t>
  </si>
  <si>
    <t>a.hishida@next-hd.co.jp</t>
  </si>
  <si>
    <t>k.okuyama@next-hd.co.jp</t>
  </si>
  <si>
    <t>t.inadome@a-graph.co.jp</t>
  </si>
  <si>
    <t>s.fukushima@next-hd.co.jp</t>
  </si>
  <si>
    <t>c.kitamura@next-hd.co.jp</t>
  </si>
  <si>
    <t>keina.noro@fitjpn.com</t>
  </si>
  <si>
    <t>a.uenishi@next-hd.co.jp</t>
  </si>
  <si>
    <t>k.yamaguchi@next-hd.co.jp</t>
  </si>
  <si>
    <t>f.matsuzaki@next-hd.co.jp</t>
  </si>
  <si>
    <t>hiroyuki.miyazaki@next-hd.co.jp</t>
  </si>
  <si>
    <t>t.take@next-hd.co.jp</t>
  </si>
  <si>
    <t>f.kojima@next-hd.co.jp</t>
  </si>
  <si>
    <t>y.naganawa@next-hd.co.jp</t>
  </si>
  <si>
    <t>n.suzuki@next-hd.co.jp</t>
  </si>
  <si>
    <t>j.kawagoe@cleverlyhome.jp</t>
  </si>
  <si>
    <t>h.hamaguchi@next-hd.co.jp</t>
  </si>
  <si>
    <t>m.takizawa@next-hd.co.jp</t>
  </si>
  <si>
    <t>m.yatsushiro@next-hd.co.jp</t>
  </si>
  <si>
    <t>m.sakai@next-hd.co.jp</t>
  </si>
  <si>
    <t>ako.ito@next-hd.co.jp</t>
  </si>
  <si>
    <t>t.sekiya@next-hd.co.jp</t>
  </si>
  <si>
    <t>h.otani@next-hd.co.jp</t>
  </si>
  <si>
    <t>r.miyoshi@next-hd.co.jp</t>
  </si>
  <si>
    <t>m.azechi@next-hd.co.jp</t>
  </si>
  <si>
    <t>m.kurashima@next-hd.co.jp</t>
  </si>
  <si>
    <t>m.enokido@next-hd.co.jp</t>
  </si>
  <si>
    <t>a.horiguchi@next-hd.co.jp</t>
  </si>
  <si>
    <t>c.sasaki@nextinnovation.co.jp</t>
  </si>
  <si>
    <t>m.ishikawa@next-hd.co.jp</t>
  </si>
  <si>
    <t>s.akimoto@next-hd.co.jp</t>
  </si>
  <si>
    <t>n.yamaki@next-hd.co.jp</t>
  </si>
  <si>
    <t>r.saito@next-hd.co.jp</t>
  </si>
  <si>
    <t>y.murotani@next-hd.co.jp</t>
  </si>
  <si>
    <t>n.mochizuki@next-hd.co.jp</t>
  </si>
  <si>
    <t>yan.yu@next-hd.co.jp</t>
  </si>
  <si>
    <t>t.hirai@next-hd.co.jp</t>
  </si>
  <si>
    <t>n.matsumoto@next-hd.co.jp</t>
  </si>
  <si>
    <t>m.nonaka@next-hd.co.jp</t>
  </si>
  <si>
    <t>k.aruga@next-hd.co.jp</t>
  </si>
  <si>
    <t>h.watanabe@cleverlyhome.jp</t>
  </si>
  <si>
    <t>fit.erika@fitjpn.com</t>
  </si>
  <si>
    <t>fit.tricia@fitjpn.com</t>
  </si>
  <si>
    <t>nobuhiro.oku@next-hd.co.jp</t>
  </si>
  <si>
    <t>c.okumura@next-hd.co.jp</t>
  </si>
  <si>
    <t>n.yoshizawa@next-hd.co.jp</t>
  </si>
  <si>
    <t>medel.y.koike@gmail.com</t>
  </si>
  <si>
    <t>akiko.kishigami@next-hd.co.jp</t>
  </si>
  <si>
    <t>yuka.sato@next-hd.co.jp</t>
  </si>
  <si>
    <t>yuichi.takada@next-hd.co.jp</t>
  </si>
  <si>
    <t>kouji.ogawa@next-hd.co.jp</t>
  </si>
  <si>
    <t>noboru.harada@next-hd.co.jp</t>
  </si>
  <si>
    <t>yoshitaka.sato@next-hd.co.jp</t>
  </si>
  <si>
    <t>k.horii@cleverlyhome.jp</t>
  </si>
  <si>
    <t>fit.ronel@fitjpn.com</t>
  </si>
  <si>
    <t>eri.takarabe@next-hd.co.jp</t>
  </si>
  <si>
    <t>aimi.sasaki@next-hd.co.jp</t>
  </si>
  <si>
    <t>ai.nakamura@next-hd.co.jp</t>
  </si>
  <si>
    <t>n.hayashi@cleverlyhome.jp</t>
  </si>
  <si>
    <t>masako.hayashi@next-hd.co.jp</t>
  </si>
  <si>
    <t>masahiko.ueno@next-hd.co.jp</t>
  </si>
  <si>
    <t>kei.kiuchi@next-hd.co.jp</t>
  </si>
  <si>
    <t>hitoshi.nishimura@next-hd.co.jp</t>
  </si>
  <si>
    <t>moe.sato@next-hd.co.jp</t>
  </si>
  <si>
    <t>s.sakaoka@cleverlyhome.jp</t>
  </si>
  <si>
    <t>hisae.mori@next-hd.co.jp</t>
  </si>
  <si>
    <t>tetsuya.ando@next-hd.co.jp</t>
  </si>
  <si>
    <t>kazuhisa.ishikawa@next-hd.co.jp</t>
  </si>
  <si>
    <t>takayuki.suzuki@next-hd.co.jp</t>
  </si>
  <si>
    <t>shigeki.yagi@next-hd.co.jp</t>
  </si>
  <si>
    <t>masayuki.tsutsumi@next-hd.co.jp</t>
  </si>
  <si>
    <t>shunsuke.nakamura@next-hd.co.jp</t>
  </si>
  <si>
    <t>megumi.kato@next-hd.co.jp</t>
  </si>
  <si>
    <t>rui@fitjpn.com</t>
  </si>
  <si>
    <t>sarii.ryugaku@next-hd.co.jp</t>
  </si>
  <si>
    <t>michiko.okatomi@next-hd.co.jp</t>
  </si>
  <si>
    <t>nobuhiro.hotta@next-hd.co.jp</t>
  </si>
  <si>
    <t>azumi.suzuki@next-hd.co.jp</t>
  </si>
  <si>
    <t>shunsuke.fukagai@next-hd.co.jp</t>
  </si>
  <si>
    <t>asaki.ichigasa@next-hd.co.jp</t>
  </si>
  <si>
    <t>itsuki.kinta@next-hd.co.jp</t>
  </si>
  <si>
    <t>kazunori.kosuge@next-hd.co.jp</t>
  </si>
  <si>
    <t>risato.suzuki@next-hd.co.jp</t>
  </si>
  <si>
    <t>neo.senda@next-hd.co.jp</t>
  </si>
  <si>
    <t>yuna.tanaka@next-hd.co.jp</t>
  </si>
  <si>
    <t>towa.miyahara@next-hd.co.jp</t>
  </si>
  <si>
    <t>honoka.shimizu@next-hd.co.jp</t>
  </si>
  <si>
    <t>keiko.uenosono@next-hd.co.jp</t>
  </si>
  <si>
    <t>keiko.ikegami@next-hd.co.jp</t>
  </si>
  <si>
    <t>sakura.nagafuchi@next-hd.co.jp</t>
  </si>
  <si>
    <t>ryosuke.honda@next-hd.co.jp</t>
  </si>
  <si>
    <t>mika.okumura@next-hd.co.jp</t>
  </si>
  <si>
    <t>v2.5</t>
    <phoneticPr fontId="1"/>
  </si>
  <si>
    <t>営業所マスターデータ更新</t>
    <rPh sb="0" eb="3">
      <t>エイギョウショ</t>
    </rPh>
    <rPh sb="10" eb="12">
      <t>コウシン</t>
    </rPh>
    <phoneticPr fontId="1"/>
  </si>
  <si>
    <t>96238</t>
  </si>
  <si>
    <t>りそな銀行　立川支店　普通　2069223</t>
  </si>
  <si>
    <t>男</t>
  </si>
  <si>
    <t>3</t>
  </si>
  <si>
    <t>463</t>
  </si>
  <si>
    <t>["655","459","463","691"]</t>
  </si>
  <si>
    <t>養生費</t>
  </si>
  <si>
    <t>本体工事上乗せ</t>
  </si>
  <si>
    <t>屋外給排水工事</t>
  </si>
  <si>
    <t>確認申請上乗せ</t>
  </si>
  <si>
    <t>設計図書上乗せ</t>
  </si>
  <si>
    <t>サービス項目</t>
  </si>
  <si>
    <t>ネクストイノベーション（東京・愛知・静岡）</t>
  </si>
  <si>
    <t>2022-08-09T15:32:26</t>
  </si>
  <si>
    <t>銀行ローン</t>
    <phoneticPr fontId="1"/>
  </si>
  <si>
    <t>v2.6</t>
    <phoneticPr fontId="1"/>
  </si>
  <si>
    <t>営業所マスタデータ修正に伴う仕様変更</t>
    <rPh sb="0" eb="3">
      <t>エイギョウショ</t>
    </rPh>
    <rPh sb="9" eb="11">
      <t>シュウセイ</t>
    </rPh>
    <rPh sb="12" eb="13">
      <t>トモナ</t>
    </rPh>
    <rPh sb="14" eb="16">
      <t>シヨウ</t>
    </rPh>
    <rPh sb="16" eb="18">
      <t>ヘンコウ</t>
    </rPh>
    <phoneticPr fontId="1"/>
  </si>
  <si>
    <t>05A3BRONT■田中 勝也</t>
  </si>
  <si>
    <t>05A3BRONT</t>
  </si>
  <si>
    <t>田中 勝也</t>
  </si>
  <si>
    <t>05A3BRONT</t>
    <phoneticPr fontId="1"/>
  </si>
  <si>
    <t>2026-03-11T13:32:30</t>
    <phoneticPr fontId="1"/>
  </si>
  <si>
    <t>[{"CommentId":16,"CreatedTime":"2025-08-07T16:03:05.526024+09:00","Creator":995,"Body":"「追加変更工事」レコードを登録しました"},{"CommentId":15,"CreatedTime":"2025-08-07T08:53:58.8249998+09:00","Creator":423,"Body":"修正ありがとう\nピタゴラスや鉄板のサービスが増えていますね\n承認します\n本契約おめでとう\n"},{"CommentId":14,"CreatedTime":"2025-08-04T16:58:29.1091786+09:00","Creator":423,"Body":"中村君へ\n事前チェック時に作成した私の粗利書は間違ってました\nサービスは実質値引きであることときちんと本体価格は合わせて作成すること\n正解版を添付しておきます\n"},{"CommentId":13,"CreatedTime":"2025-07-19T15:22:10.5933034+09:00","Creator":732,"Body":"・ポイントクラブ\n→登録済み\n\n粗利書について\n本体金額を同じにすると物のサービスではなく、値引き処理になると思われます。\n今回は本体から合計1,734,322円分のサービス工事を行う処理ですので、1,734,322円本体から引いて、サービス項目にて記載しております。\nご確認お願いします。\n"},{"CommentId":12,"CreatedTime":"2025-07-10T08:47:37.4501458+09:00","Creator":423,"Body":"案内図OK\n歩合対象金額、粗利書NG\n粗利書の本体金額が違うので資金計画書と照合\n1,734,322円の値引きを本体から引いて入力していますが、本体金額は変えないでください。\n一応本体金額が同じで作成した粗利書を添付しておきます。\n1,734,322円が上乗せなのであれば上乗せ処理をしてもらわないと正しいのかどうかがチェックできません。"},{"CommentId":11,"CreatedTime":"2025-07-08T19:11:36.169808+09:00","Creator":463,"Body":"・ポイントクラブ\n添付がないので付与できません"},{"CommentId":10,"CreatedTime":"2025-06-05T11:38:02.3532725+09:00","Creator":463,"Body":"住所の訂正\nありがとうございました。"},{"CommentId":9,"CreatedTime":"2025-06-04T17:07:17.0578158+09:00","Creator":463,"Body":"・現住所\n覚書　　リブール\n免許証　リーブル\n連絡が遅くなり申し訳ありませんが修正をお願い致します。"},{"CommentId":8,"CreatedTime":"2024-12-30T18:34:19.7471792+09:00","Creator":463,"Body":"・ポイントクラブ\n添付あり　登録なし\n本契約時までにご案内してください"},{"CommentId":7,"CreatedTime":"2024-12-23T15:44:19.159992+09:00","Creator":738,"Body":"溝口さん\n\n覚書\n\n・土地関係\n\n●土地所有者　覚書（利治）と、謄本名義（明美）と違います。正しい所有者を記載してください。\n⇒利治様に所有権移転してますので、利治様(施主父)のみ記載で間違いありません。\n\n●その他注意　根抵当権×→抵当権\n⇒9番の謄本にて根抵当権抹消していますので問題ありません。\n\n・敷地調査報告書\n\n●角地・道路緩和の有無を確認して記載してください。西側道路位置指定道路になっています。\n斜線規制：北側斜線有に〇をしてください。\nまちづくり条例について確認をしてください。\n⇒済み\n\n・道路及び水路関係\n●西側道路位置指定道路になっていますが、持ち分、接道の有無を確認してください。接道する場合は西側道路の情報を記載、角地緩和の有無を確認してください。\n⇒接道してます。\n公図上、筆が西側道路の土地と別れていないので、現状持ち分確認できない状態です。\n現在、施主手配により役所と位置指定道路について協議中です。詳しくは、協議完了後再度調べます。(協議完了1月末予定)\n\n・設備関係\n●排水：下水道台帳を添付してください。本管のφ記載。\n⇒済み\n"},{"CommentId":6,"CreatedTime":"2024-12-22T11:54:56.516026+09:00","Creator":725,"Body":"覚書\n土地情報\n土地所有者　覚書（利治）と、謄本名義（明美）と違います。正しい所有者を記載してください。\nその他注意　根抵当権×→抵当権\n敷地調査報告書\n角地・道路緩和の有無を確認して記載してください。西側道路位置指定道路になっています。\n斜線規制：北側斜線有に〇をしてください。\nまちづくり条例について確認をしてください。\n道路及び水路関係\n西側道路位置指定道路になっていますが、持ち分、接道の有無を確認してください。接道する場合は西側道路の情報を記載、角地緩和の有無を確認してください。\n設備関係\n排水：下水道台帳を添付してください。本管のφ記載。\n"},{"CommentId":5,"CreatedTime":"2024-12-18T21:40:06.5185638+09:00","Creator":463,"Body":"・ポイントクラブ\n添付あり　登録なし\nご案内してください"},{"CommentId":4,"CreatedTime":"2024-12-16T17:19:51.4945887+09:00","Creator":738,"Body":"水道工事費用に関しては、野口水道から今回分筆があり予定では2025年1月中に終わるとのことなので、終わり次第のお見積りだしになるとのことでした為、現状見積無しとなります。"},{"CommentId":3,"CreatedTime":"2024-10-21T12:36:51.234055+09:00","Creator":995,"Body":"「お客様データファイル」レコードを登録しました"},{"CommentId":2,"CreatedTime":"2024-09-30T18:55:25.1684603+09:00","Creator":995,"Body":"「リードタイム算定」レコードを登録しました"},{"CommentId":1,"CreatedTime":"2024-09-05T20:20:41.0509503+09:00","Creator":995,"Body":"「工期計算」レコードを登録しました"}]</t>
    <phoneticPr fontId="1"/>
  </si>
  <si>
    <t>2024-09-05T20:02:21</t>
    <phoneticPr fontId="1"/>
  </si>
  <si>
    <t>05A3BRONT■田中 勝也</t>
    <phoneticPr fontId="1"/>
  </si>
  <si>
    <t>NA0BRO</t>
  </si>
  <si>
    <t>283340</t>
  </si>
  <si>
    <t>109030</t>
  </si>
  <si>
    <t>109075</t>
  </si>
  <si>
    <t>732</t>
  </si>
  <si>
    <t>932</t>
  </si>
  <si>
    <t>812</t>
  </si>
  <si>
    <t>807</t>
  </si>
  <si>
    <t>9月</t>
  </si>
  <si>
    <t>タナカ カツヤ</t>
  </si>
  <si>
    <t>210700</t>
  </si>
  <si>
    <t>725</t>
  </si>
  <si>
    <t>田中</t>
  </si>
  <si>
    <t>勝也</t>
  </si>
  <si>
    <t>タナカ</t>
  </si>
  <si>
    <t>カツヤ</t>
  </si>
  <si>
    <t>193-0931</t>
  </si>
  <si>
    <t>東京都八王子市台町1-1-18　リ-ブルファイン台町104</t>
  </si>
  <si>
    <t>トウキョウトハチオウジシダイマチ</t>
  </si>
  <si>
    <t>株式会社ハウスクリニック</t>
  </si>
  <si>
    <t>080-5434-8561</t>
  </si>
  <si>
    <t xml:space="preserve">193-0931 </t>
  </si>
  <si>
    <t>東京都八王子市台町１丁目2-5</t>
  </si>
  <si>
    <t>東京都八王子市台町１丁目43-51，52</t>
  </si>
  <si>
    <t>109103</t>
  </si>
  <si>
    <t>木造軸組工法</t>
  </si>
  <si>
    <t>109123</t>
  </si>
  <si>
    <t>LVL</t>
  </si>
  <si>
    <t>準防火</t>
  </si>
  <si>
    <t>2階建て</t>
  </si>
  <si>
    <t>エネカリ</t>
  </si>
  <si>
    <t>8t</t>
  </si>
  <si>
    <t>211718</t>
  </si>
  <si>
    <t>ご主人様の会社規模　リフォーム業者二代目社長</t>
  </si>
  <si>
    <t>ご主人　奥様　長男　次男　三男</t>
  </si>
  <si>
    <t>素敵なお家づくりをする</t>
  </si>
  <si>
    <t>田中　利治</t>
  </si>
  <si>
    <t>父</t>
  </si>
  <si>
    <t>宅地</t>
  </si>
  <si>
    <t>お客様の知り合いにて施工</t>
  </si>
  <si>
    <t>["812","807","725","481","732","932"]</t>
  </si>
  <si>
    <t>05A3AERNT 小室智弘・松上直矢様邸</t>
  </si>
  <si>
    <t>481</t>
  </si>
  <si>
    <t>423</t>
  </si>
  <si>
    <t>677</t>
  </si>
  <si>
    <t>差戻し後再申請</t>
  </si>
  <si>
    <t>管理設計承認済み</t>
  </si>
  <si>
    <t>所属長承認済み</t>
  </si>
  <si>
    <t>着工要因承認済み</t>
  </si>
  <si>
    <t>専務承認済み：修正ありがとうピタゴラスや鉄板のサービスが増えていますね承認します本契約おめでとう</t>
  </si>
  <si>
    <t>総務承認済み</t>
  </si>
  <si>
    <t>最終承認済み</t>
  </si>
  <si>
    <t>差戻し理由：中村君へ事前チェック時に作成した私の粗利書は間違ってましたサービスは実質値引きであることときちんと本体価格は合わせて作成すること正解版を添付しておきます</t>
  </si>
  <si>
    <t>738</t>
  </si>
  <si>
    <t>[設契]新規申請開始</t>
  </si>
  <si>
    <t>[設契]管理設計承認済み</t>
  </si>
  <si>
    <t>[設契]所属長承認済み</t>
  </si>
  <si>
    <t>[設契]着工要因承認済み</t>
  </si>
  <si>
    <t>[設契]総務承認済み：・ポイントクラブ添付あり　登録なし本契約時までにご案内してください</t>
  </si>
  <si>
    <t>[設契]最終承認済み</t>
  </si>
  <si>
    <t>210755</t>
  </si>
  <si>
    <t>210772</t>
  </si>
  <si>
    <t>210731</t>
  </si>
  <si>
    <t>["725","481","732","932","806","741"]</t>
  </si>
  <si>
    <t>設計契約承認済み本契約事前申請</t>
  </si>
  <si>
    <t>["796", "792", "701", "534", "793", "935", "897", "686", "882", "689", "906", "855"]</t>
  </si>
  <si>
    <t>["421", "859", "874", "870", "886"]</t>
  </si>
  <si>
    <t>再</t>
  </si>
  <si>
    <t>[設契]事前申請開始</t>
  </si>
  <si>
    <t>282085</t>
  </si>
  <si>
    <t>284957</t>
  </si>
  <si>
    <t>369020</t>
  </si>
  <si>
    <t>282083</t>
  </si>
  <si>
    <t>283993</t>
  </si>
  <si>
    <t>[{"0":"契約金","1":"自己資金","2":500000,"3":"設計契約時","4":"","5":"支払済","6":1000000},{"0":"","1":"自己資金","2":500000,"3":"契約時","4":"","5":"支払予定","6":""},{"0":"着工時金","1":"銀行ローン","2":13000000,"3":"着工時","4":"","5":"支払予定","6":13000000},{"0":"","1":"","2":0,"3":"","4":"","5":"","6":""},{"0":"中間金","1":"銀行ローン","2":13000000,"3":"上棟時","4":"","5":"支払予定","6":13000000},{"0":"","1":"","2":0,"3":"","4":"","5":"","6":""},{"0":"最終金","1":"銀行ローン","2":10000000,"3":"引き渡し時","4":"","5":"支払予定","6":12732317},{"0":"","1":"自己資金","2":2732317,"3":"引き渡し時","4":"","5":"支払予定","6":""}]</t>
  </si>
  <si>
    <t>[{"0":"建物本体価格","1":"","2":34822811,"3":"正式"},{"0":"","1":"","2":"","3":""}]</t>
  </si>
  <si>
    <t>[{"0":"田中様特別ご協力①","1":"不行","2":"タカラスタンダードオフェリア　キッチン・カップボードサービス　778,900円分","3":-778900,"4":"式","5":1,"6":-778900},{"0":"田中様特別ご協力②","1":"不行","2":"パワーボード⇒サイディング金額サービス　469,422円分","3":-469422,"4":"式","5":1,"6":-469422},{"0":"田中様特別ご協力③","1":"不行","2":"アイカ洗面洗面化粧台サービス　486,000円分","3":-486000,"4":"式","5":1,"6":-486000},{"0":"","1":"","2":"","3":0,"4":"式","5":0,"6":0},{"0":"","1":"","2":"","3":"","4":"","5":"","6":""}]</t>
  </si>
  <si>
    <t>[{"0":"仮設","1":"水道 (工事用)","2":0,"3":"建物本体工事に含む"},{"0":"","1":"トイレ (工事用)","2":0,"3":"建物本体工事に含む"},{"0":"","1":"電気 (工事用)","2":0,"3":"建物本体工事に含む"},{"0":"","1":"特殊運搬費 (作業狭小・高低差等)","2":0,"3":""},{"0":"","1":"養生・仮囲い費用","2":350000,"3":""},{"0":"","1":"特殊養生費（鉄板養生等）","2":0,"3":""},{"0":"地盤","1":"地盤調査費","2":100000,"3":"調査結果により、改良費は別途発生する場合有 ※固定"},{"0":"","1":"地盤改良費","2":0,"3":""},{"0":"電気","1":"動力 (申請含む)","2":0,"3":""},{"0":"","1":"外線引込","2":0,"3":"建物本体工事に含む"},{"0":"ガス","1":"プロパンガス","2":0,"3":""},{"0":"","1":"都市ガス","2":250000,"3":""},{"0":"水道","1":"屋外給排水工事","2":638000,"3":"外水道1基含む"},{"0":"","1":"水道工事追加","2":464000,"3":"解体工事前見積もり（2025年5月21日）"},{"0":"","1":"給排水引込工事","2":0,"3":""},{"0":"外溝","1":"外構工事","2":0,"3":""},{"0":"解体","1":"解体工事","2":0,"3":""},{"0":"造成","1":"造成工事","2":0,"3":""},{"0":"書代","1":"確認申請・建築に関する申請","2":200000,"3":""},{"0":"","1":"設計図書","2":125000,"3":""},{"0":"","1":"構造計算費用","2":0,"3":""},{"0":"","1":"フラット仕様申請費用","2":0,"3":""},{"0":"","1":"長期優良住宅申請費用","2":100000,"3":""},{"0":"その他","1":"ゼロエミ申請費用","2":200000,"3":""},{"0":"","1":"子育てエコホーム補助金申請費用","2":110000,"3":""},{"0":"","1":"エネカリ導入電気工事費用","2":369800,"3":""},{"0":"","1":"蓄電池費用","2":0,"3":""},{"0":"","1":"現場管理費用","2":125000,"3":""},{"0":"","1":"","2":0,"3":""},{"0":"","1":"","2":0,"3":""},{"0":"","1":"","2":0,"3":""},{"0":"","1":"","2":0,"3":""},{"0":"","1":"","2":0,"3":""}]</t>
  </si>
  <si>
    <t>[{"0":"D.値引き","1":0},{"0":"E.預り金立替金","1":0},{"0":"F.土地代金","1":0},{"0":"G.土地関係費用","1":0}]</t>
  </si>
  <si>
    <t>[{"0":"A.建物工事見積","1":34822811},{"0":"B.追加変更工事見積","1":-1734322},{"0":"C.付帯工事見積","1":3031800},{"0":"D.値引き","1":0},{"0":"小計① (A+B+C+D)","1":36120289},{"0":"建築面積(坪)","1":0},{"0":"建物坪単価(税別)","1":0},{"0":"消費税（A+B+C+D）","1":3612028},{"0":"請負金額(税込)","1":39732317},{"0":"E.預り金立替金","1":0},{"0":"小計② (A+B+C+D+E)","1":36120289},{"0":"消費税等 (A+B+C+D+E)","1":3612028},{"0":"X.建物関係総計","1":39732317},{"0":"F.土地代金","1":0},{"0":"G.土地関係費用","1":0},{"0":"消費税(G.土地関係費用)","1":0},{"0":"Y.土地関係総計","1":0},{"0":"総費用（X+Y)","1":39732317}]</t>
  </si>
  <si>
    <t>[{"0":"請負金額(税込)","1":39732317,"2":"見積欄より転記"},{"0":"地盤調査費","1":100000,"2":"A■見積欄より転記"},{"0":"値引き","1":0,"2":"B■見積欄より転記"},{"0":"太陽光システム","1":0,"2":"C■太陽光システム請負金額"},{"0":"合計(税込)","1":38415092.1,"2":"D■(建物工事金額合計+A+B+C)×消費税"},{"0":"万円丸め","1":3841,"2":"X■Dの1万以下切り捨て"},{"0":"本体価格90%","1":3575,"2":"Y■請負金額の万円丸めの90%"},{"0":"安い方を採用","1":3575,"2":"Z■X,Yの安い方"},{"0":"瑕疵担保保険限度額","1":2000,"2":"既定値：2000万円"}]</t>
  </si>
  <si>
    <t>{"keiyaku_date":"2024-09-24T15:00:00.000Z","zukaku_date0":"2024-10-30T15:00:00.000Z","zukaku_date1":"2025-05-23T15:00:00.000Z","hikitsugi_date1":"2025-05-23T15:00:00.000Z","hikitsugi_date2":"2025-06-06T15:00:00.000Z","jizen_date1":"","jizen_date2":"","kakunin_date1":"2025-06-05T15:00:00.000Z","kakunin_date2":"2025-06-19T15:00:00.000Z","fusezu_date":"2025-06-12T15:00:00.000Z","shiyo_kanryo_date":"2025-06-20T15:00:00.000Z","yonsya_date":"2025-06-26T15:00:00.000Z","shonin14_date":"2025-07-04T15:00:00.000Z","kaitai_date1":"","kaitai_date2":"","chitai_chousa_date":"2025-05-29T15:00:00.000Z","choki_tanso_date1":"2025-07-14T15:00:00.000Z","seinohyouka_date":"","choki_tanso_date2":"2025-07-31T15:00:00.000Z","hoken_date":"2025-07-28T15:00:00.000Z","jiban_date":"2025-07-21T15:00:00.000Z","chakko_yotei_date":"2025-07-28T15:00:00.000Z","maizo_chakko_date":"","shiyo_kanryo_date2":""}</t>
  </si>
  <si>
    <t>{"SiteId":96235,"UpdatedTime":"2023-10-06T16:51:52","ResultId":96238,"Ver":3,"Title":"ネクストイノベーション（東京・愛知・静岡）","Body":"","Status":100,"Manager":460,"Owner":460,"Locked":false,"Comments":"[]","Creator":460,"Updator":460,"CreatedTime":"2022-08-09T15:32:26","ItemTitle":"ネクストイノベーション（東京・愛知・静岡）","ApiVersion":1.1,"ClassHash":{"ClassA":"ネクストイノベーション株式会社","ClassB":"163-1502","ClassC":"東京都新宿区西新宿一丁目6番1号","ClassD":"03-4589-5557","ClassE":"","ClassF":"りそな銀行　立川支店　普通　2069223","ClassG":"豊藏 一幸","ClassH":"トヨクラ カズユキ","ClassI":"158579","ClassJ":"MB2015031424","ClassK":""},"NumHash":{},"DateHash":{},"DescriptionHash":{},"CheckHash":{},"AttachmentsHash":{}}</t>
  </si>
  <si>
    <t>{"SiteId":109029,"UpdatedTime":"2022-08-09T17:29:46","ResultId":109030,"Ver":1,"Title":"ネクストイノベーション（西東京）","Body":"","Status":100,"Manager":460,"Owner":460,"Locked":false,"Comments":"[]","Creator":460,"Updator":460,"CreatedTime":"2022-08-09T17:24:41","ItemTitle":"ネクストイノベーション（西東京）","ApiVersion":1.1,"ClassHash":{"ClassA":"ネクストイノベーション株式会社","ClassB":"191-0053","ClassC":"東京都日野市豊田4-37-12グランシェール豊田1階","ClassD":"042-540-0505","ClassE":"042-514-9010"},"NumHash":{},"DateHash":{},"DescriptionHash":{},"CheckHash":{},"AttachmentsHash":{}}</t>
  </si>
  <si>
    <t>{"SiteId":96243,"UpdatedTime":"2024-04-21T13:39:17","ResultId":109075,"Ver":4,"Title":"actie 八王子","Body":"","Status":100,"Manager":460,"Owner":460,"Locked":false,"Comments":"[]","Creator":460,"Updator":460,"CreatedTime":"2022-08-09T18:05:11","ItemTitle":"actie 八王子","ApiVersion":1.1,"ClassHash":{"ClassA":"WELLHOMES","ClassB":"八王子営業所","ClassC":"東京都八王子市大谷町234","ClassD":"ABCハウジングワールド八王子総合展示場 No.1","ClassE":"042-595-9911","ClassF":"042-649-9123","ClassG":"溝口 大介","ClassH":"りそな銀行　立川支店　普通　2193734","ClassK":"725","ClassI":"210700","ClassT":"アクティエ八王子"},"NumHash":{},"DateHash":{},"DescriptionHash":{},"CheckHash":{},"AttachmentsHash":{}}</t>
  </si>
  <si>
    <t>{"SiteId":109100,"UpdatedTime":"2022-08-09T18:45:26","ResultId":109103,"Ver":1,"Title":"actie","Body":"","Status":100,"Manager":460,"Owner":460,"Locked":false,"Comments":"[]","Creator":460,"Updator":460,"CreatedTime":"2022-08-09T18:45:26","ItemTitle":"actie","ApiVersion":1.1,"ClassHash":{},"NumHash":{},"DateHash":{},"DescriptionHash":{},"CheckHash":{},"AttachmentsHash":{}}</t>
  </si>
  <si>
    <t>{"SiteId":109109,"UpdatedTime":"2022-08-09T18:50:01","ResultId":109123,"Ver":1,"Body":"","Status":100,"Manager":460,"Owner":460,"Locked":false,"Comments":"[]","Creator":460,"Updator":460,"CreatedTime":"2022-08-09T18:50:01","ItemTitle":"smart style","ApiVersion":1.1,"ClassHash":{"ClassA":"109103","ClassB":"smart style"},"NumHash":{},"DateHash":{},"DescriptionHash":{},"CheckHash":{},"AttachmentsHash":{}}</t>
  </si>
  <si>
    <t>特別協力①タカラスタンダードオフェリア　キッチン、カップボードサービス778,900円_x000D_
特別協力②パワーボード⇒サイディング価格サービス　469,422円_x000D_
特別協力③アイカ洗面化粧台サービス　486,000円</t>
  </si>
  <si>
    <t>エネカリプラス利用（太陽光パネル、蓄電池）</t>
  </si>
  <si>
    <t>戸井田さんのユーザー05A3AERNT 小室智弘・松上直矢様邸のお知り合い_x000D_
入り口は展示場来場だったが、会話の中で繋がりがあり、後押しを頂きました。_x000D_
_x000D_
初回パートの武藤さんが接客し、アポイントにつなげたお客様です。_x000D_
着工後、ワークフロー申請にて歩合申請させて頂きます。</t>
  </si>
  <si>
    <t xml:space="preserve">案内図OK_x000D_
歩合対象金額、粗利書NG_x000D_
粗利書の本体金額が違うので資金計画書と照合_x000D_
1,734,322円の値引きを本体から引いて入力していますが、本体金額は変えないでください。_x000D_
一応本体金額が同じで作成した粗利書を添付しておきます。_x000D_
1,734,322円が上乗せなのであれば上乗せ処理をしてもらわないと正しいのかどうかがチェックできません。_x000D_
</t>
  </si>
  <si>
    <t>・ポイントクラブ_x000D_
添付がないので付与できません</t>
  </si>
  <si>
    <t>_x000D_
--------------------_x000D_
本契約WF 差戻し：川名 真治_x000D_
2025/08/04 16:58:25_x000D_
差戻し理由：中村君へ_x000D_
事前チェック時に作成した私の粗利書は間違ってました_x000D_
サービスは実質値引きであることときちんと本体価格は合わせて作成すること_x000D_
正解版を添付しておきます</t>
  </si>
  <si>
    <t>覚書_x000D_
土地情報_x000D_
土地所有者　覚書（利治）と、謄本名義（明美）と違います。正しい所有者を記載してください。_x000D_
その他注意　根抵当権×→抵当権_x000D_
敷地調査報告書_x000D_
角地・道路緩和の有無を確認して記載してください。西側道路位置指定道路になっています。_x000D_
斜線規制：北側斜線有に〇をしてください。_x000D_
まちづくり条例について確認をしてください。_x000D_
道路及び水路関係_x000D_
西側道路位置指定道路になっていますが、持ち分、接道の有無を確認してください。接道する場合は西側道路の情報を記載、角地緩和の有無を確認してください。_x000D_
設備関係_x000D_
排水：下水道台帳を添付してください。本管のφ記載。</t>
  </si>
  <si>
    <t>・ポイントクラブ_x000D_
添付あり　登録なし_x000D_
ご案内してください</t>
  </si>
  <si>
    <t>911E70A0FE9841B3B00755142882AABA</t>
  </si>
  <si>
    <t>05A3BRONT■田中 勝也現場案内図-.pdf</t>
  </si>
  <si>
    <t>5CB2022FDE364971B1716291B18E7942</t>
  </si>
  <si>
    <t>05A3BRONT■田中 勝也　設計契約書.pdf</t>
  </si>
  <si>
    <t>D6A95E643A134EAFAE307807FF3ABD06</t>
  </si>
  <si>
    <t>建築工事請負契約書.pdf</t>
  </si>
  <si>
    <t>07F7CE835DD04F6A8D08BF3742510DE6</t>
  </si>
  <si>
    <t>05A3BRONT■田中 勝也様設計契約時資金計画書.pdf</t>
  </si>
  <si>
    <t>965738E539D64CBBB3EA515C0A1E01C3</t>
  </si>
  <si>
    <t>田中様　請負契約時資金計画.pdf</t>
  </si>
  <si>
    <t>9FA5187121564AFCA00E910842F3805F</t>
  </si>
  <si>
    <t>【初期提案4th】ご提案書　田中様邸　新築工事 (1).pdf</t>
  </si>
  <si>
    <t>4C899F1CE9EE46FDB4801ECEE29964B1</t>
  </si>
  <si>
    <t>【請負契約時図面】05A3BRONT 田中 勝也様邸 新築工事.pdf</t>
  </si>
  <si>
    <t>326402C7B1574E8CAF573C655E6332BB</t>
  </si>
  <si>
    <t>05A3BRONT■田中 勝也　設計重要事項説明.pdf</t>
  </si>
  <si>
    <t>D4A7BC0A774849ED848DF8640D3E6416</t>
  </si>
  <si>
    <t>05A3BRONT■田中 勝也　瑕疵担保登録.pdf</t>
  </si>
  <si>
    <t>D0EFF5D161604BD6A7E8EF7862B638CC</t>
  </si>
  <si>
    <t>田中様　本人書類.pdf</t>
  </si>
  <si>
    <t>4A000EC3C328419093341178DE1083E4</t>
  </si>
  <si>
    <t>05A3BRONT■田中 勝也 省エネ説明.pdf</t>
  </si>
  <si>
    <t>08CD2341205A4CDD9A2BD1894790A2CF</t>
  </si>
  <si>
    <t>0825打合せ議事録 (2).pdf</t>
  </si>
  <si>
    <t>E1174B61F0414DA8AA5E845D136E414C</t>
  </si>
  <si>
    <t>0429田中様　打合せ議事録.pdf</t>
  </si>
  <si>
    <t>A4B8348EB9AA49AEAAF1271843F6BF56</t>
  </si>
  <si>
    <t>05A3BRONT_田中 勝也■敷地写真図■20241108-12655.pdf</t>
  </si>
  <si>
    <t>78A65F71EC2F4D6F8F7E791A8A354A0F</t>
  </si>
  <si>
    <t>田中様　配管経路図.pdf</t>
  </si>
  <si>
    <t>B265F74623A24B458A434787281BD884</t>
  </si>
  <si>
    <t>05A3BRONT■田中 勝也　合意書.pdf</t>
  </si>
  <si>
    <t>E2F023576F654CF1BB662BC69D35F53E</t>
  </si>
  <si>
    <t>05A3BRONT■田中 勝也　ポイントクラブ.pdf</t>
  </si>
  <si>
    <t>50674DBE019E48008359594A4B449A26</t>
  </si>
  <si>
    <t>05A3BRONT■田中 勝也　画像承諾.pdf</t>
  </si>
  <si>
    <t>C5C69CD12A364DD28BE0DBC26D6315A9</t>
  </si>
  <si>
    <t>タカラ変更その他サービスactie 簡易積算システム_Ver.6-KA-4 - コピー.xlsm</t>
  </si>
  <si>
    <t>BC5B0ABFCD9B4F8199D6ABB57A2F9314</t>
  </si>
  <si>
    <t>1006議事録.pdf</t>
  </si>
  <si>
    <t>B9410BA7B9874128B6CBF6AA1D23E523</t>
  </si>
  <si>
    <t>1021議事録.pdf</t>
  </si>
  <si>
    <t>896A67B265974D53BCB3D5A6EC328F01</t>
  </si>
  <si>
    <t>0125議事録.pdf</t>
  </si>
  <si>
    <t>1E3C8904201B4A1892CC5821CA2C1E4D</t>
  </si>
  <si>
    <t>0302議事録.pdf</t>
  </si>
  <si>
    <t>7B95CC1337D146E3B2736B67D77EF79A</t>
  </si>
  <si>
    <t>0316議事録.pdf</t>
  </si>
  <si>
    <t>96378D16C7594C8789E36735F519B0D4</t>
  </si>
  <si>
    <t>0407議事録.pdf</t>
  </si>
  <si>
    <t>3B8E8EDABF274872BB130A5190E540C7</t>
  </si>
  <si>
    <t>0420議事録.pdf</t>
  </si>
  <si>
    <t>63B20576C7D8460AAD5496EB171BD778</t>
  </si>
  <si>
    <t>0506議事録.pdf</t>
  </si>
  <si>
    <t>CA3D2390163C43289708734C2D28F240</t>
  </si>
  <si>
    <t>0517議事録.pdf</t>
  </si>
  <si>
    <t>19C8668F1684437A8D2537962721F327</t>
  </si>
  <si>
    <t>0524議事録.pdf</t>
  </si>
  <si>
    <t>5311A3430B834A75B83EE19E637EC5F3</t>
  </si>
  <si>
    <t>田中様邸　図確シート.pdf</t>
  </si>
  <si>
    <t>367702EC0E3C49C9BE39A129C780F1D5</t>
  </si>
  <si>
    <t>田中様邸　再図面確定シート.pdf</t>
  </si>
  <si>
    <t>E162E3D6FCD44F8E8BBA52B62E577791</t>
  </si>
  <si>
    <t>田中様邸　図確図面.pdf</t>
  </si>
  <si>
    <t>DD03E10F65314A5887C8DEBBA7E0347D</t>
  </si>
  <si>
    <t>田中様邸　再図確図面.pdf</t>
  </si>
  <si>
    <t>22AD94F6DB074BA0A8BCDE1027BAAB47</t>
  </si>
  <si>
    <t>田中様邸　邸別仕様書【図確時】.xlsx</t>
  </si>
  <si>
    <t>A6BC11BF744746308FA8D00C5B7FBEAB</t>
  </si>
  <si>
    <t>田中様邸　現場案内図.pdf</t>
  </si>
  <si>
    <t>9982D4A6514E46A490B3C014510C40E7</t>
  </si>
  <si>
    <t>田中様邸　住宅地図.pdf</t>
  </si>
  <si>
    <t>CB3B3F7BC38E4D3CA1C6B468D87B01F2</t>
  </si>
  <si>
    <t>田中様邸　公図.pdf</t>
  </si>
  <si>
    <t>53B5C1BE9E804ED5B507BE9B6B2CF6E6</t>
  </si>
  <si>
    <t>37C1EE08D53E4A96A04D723FBCCE558E</t>
  </si>
  <si>
    <t>519C5235E0504C13A9CECA89118CE1A5</t>
  </si>
  <si>
    <t>0421 田中様邸　展開図.pdf</t>
  </si>
  <si>
    <t>74D1F68C60CA43D5B6E863CF93E93C12</t>
  </si>
  <si>
    <t>（修正）0605actie 簡易積算システム_Ver.6-KA-4 （田中勝也様）.xlsm</t>
  </si>
  <si>
    <t>2ECF0B7339D14279A19D28BA8AFB4C78</t>
  </si>
  <si>
    <t>2025.05.26 05A3BRONT 田中 勝也様邸 新築工事(ジョ).pdf</t>
  </si>
  <si>
    <t>D21A3581F87948D6B0E070E39BAF6225</t>
  </si>
  <si>
    <t>田中勝也様】【ブランド共通】IC引継ぎシート2024.09改訂.xlsx</t>
  </si>
  <si>
    <t>7A996152DEAE457198F6D007E624158E</t>
  </si>
  <si>
    <t>田中様邸　配線費用算出図面.pdf</t>
  </si>
  <si>
    <t>F7F6E32ED7664117B608CF16EE33F707</t>
  </si>
  <si>
    <t>田中様邸　配線費用算出表.xls</t>
  </si>
  <si>
    <t>B48DD673291A43B3AC4C41BDE45B5879</t>
  </si>
  <si>
    <t>250604田中　勝也様邸　エアコン（LDKのみ）.pdf</t>
  </si>
  <si>
    <t>3F0C207F0EDE4699900B48A56BFB2FC0</t>
  </si>
  <si>
    <t>250604田中　勝也様邸　エアコン（全体）.pdf</t>
  </si>
  <si>
    <t>989EC572962443D8B42B5D25C61B8591</t>
  </si>
  <si>
    <t>バスルーム（Aプラン）　プレゼン.pdf</t>
  </si>
  <si>
    <t>4217872EAC0146D88F213CAD74E3DAE6</t>
  </si>
  <si>
    <t>バスルーム（Aプラン）図面.pdf</t>
  </si>
  <si>
    <t>2A2E684A276C4501A80A7402F449926D</t>
  </si>
  <si>
    <t>バスルーム（Bプラン）プレゼン.pdf</t>
  </si>
  <si>
    <t>C37DCC435E3D4E09A2F337C0793F78AD</t>
  </si>
  <si>
    <t>バスルームBプラン　図面.pdf</t>
  </si>
  <si>
    <t>05D86BC7B6F740A98828AECAFB57863B</t>
  </si>
  <si>
    <t>見積書　バスルーム1618（Bプラン）、トイレ.pdf</t>
  </si>
  <si>
    <t>AD24BE7B058842AE8B0465829DD2ED0B</t>
  </si>
  <si>
    <t>見積書　浴室（Aプラン）、トイレ.pdf</t>
  </si>
  <si>
    <t>C402C1E23D9B4BB399ABE15F606A8672</t>
  </si>
  <si>
    <t>③設備販売算出表2025.5.4※全エリア共通・ブランド別.xlsx</t>
  </si>
  <si>
    <t>7820565025354ABA8B3D44009255DBE8</t>
  </si>
  <si>
    <t>G2787283_SG00002一般商品プランシート1.pdf</t>
  </si>
  <si>
    <t>3D4E195531BA4944870ACF565B1147DD</t>
  </si>
  <si>
    <t>G2787283_SG00002一般商品プランシート2.pdf</t>
  </si>
  <si>
    <t>7E38CA2F6F9E4AA2803D5D7373E0D619</t>
  </si>
  <si>
    <t>G2787283_SG00002図面（Ａ４）.pdf</t>
  </si>
  <si>
    <t>071B12E399974049B2DA54078E43012F</t>
  </si>
  <si>
    <t>トイレ　図面.pdf</t>
  </si>
  <si>
    <t>E7E1701A1D9F4A529AED846F4DF7476A</t>
  </si>
  <si>
    <t>【営業積算・見積返信】_ 25A0142-002 _ を更新しました。.pdf</t>
  </si>
  <si>
    <t>338F8C97CC9842918D0DDEBA6A0422F0</t>
  </si>
  <si>
    <t>田中勝也邸 見積.pdf</t>
  </si>
  <si>
    <t>089C819EC5204BEC8C5661D16922326C</t>
  </si>
  <si>
    <t>玄関ドアヴェナード　カタログ抜粋.pdf</t>
  </si>
  <si>
    <t>3323A9E5966D45859E15F815BA78CFFD</t>
  </si>
  <si>
    <t>田中様報告書.pdf</t>
  </si>
  <si>
    <t>304C86FB668D4B1481A5C910D3629873</t>
  </si>
  <si>
    <t>⑤玄関ドア販売算出表2025.4.21(5.4)※全エリア共通・ブランド別.xlsx</t>
  </si>
  <si>
    <t>850C35A503F64CF5A8F2D4F26E10AC1F</t>
  </si>
  <si>
    <t>変更差額内訳】2023.07改訂.xlsx</t>
  </si>
  <si>
    <t>EB88095C677A4C4184BA59256BDE0F46</t>
  </si>
  <si>
    <t>【ＰＢ】B1F1UA01田中様邸（建具のみ）20250318112730.pdf</t>
  </si>
  <si>
    <t>6EE1E90D8154446E9B38EC9C0108A8B0</t>
  </si>
  <si>
    <t>2025.04.29 05A3BRONT 田中 勝也様邸 新築工事 (ジャーソン).pdf</t>
  </si>
  <si>
    <t>84FD1D82D7BC453E8FD8B4FFCF9E791B</t>
  </si>
  <si>
    <t>②建具・玄関収納販売算出表2024.12.21※全エリア共通・ブランド別 .xlsx</t>
  </si>
  <si>
    <t>3BD4479E49ED48B6BA26D9B65786755C</t>
  </si>
  <si>
    <t>PB B1F1UA03田中様邸（建具のみ）５／２３変更20250523095722.pdf</t>
  </si>
  <si>
    <t>7C4D6B753DF9420A93161A49651C2A1B</t>
  </si>
  <si>
    <t>図面 B1F1UA03田中様邸（建具のみ）５／２３変更20250523095722.pdf</t>
  </si>
  <si>
    <t>F44FC803BC9741AE98A6107EE843076C</t>
  </si>
  <si>
    <t>定価 B1F1UA03田中様邸（建具のみ）５／２３変更20250523095722.pdf</t>
  </si>
  <si>
    <t>EE4198AB2709491788A3E1C3EE29BE68</t>
  </si>
  <si>
    <t>【営業積算・見積返信】_ 25A0142-001 _ を更新しました。.pdf</t>
  </si>
  <si>
    <t>C424D3761F1346A88650A2F25B3B8BD2</t>
  </si>
  <si>
    <t>250529ネクストイノベーション㈱様_田中勝也様邸（サッシ）.pdf</t>
  </si>
  <si>
    <t>192E509E359C4E26AE1BE46702F93EB5</t>
  </si>
  <si>
    <t>EH01070R01P01 (3).xls</t>
  </si>
  <si>
    <t>ED2938A2E93B4058936998A446A36F6D</t>
  </si>
  <si>
    <t>田中様　敷地調査報告書 (1).pdf</t>
  </si>
  <si>
    <t>73BE6FC321314048BA69D09715EAF232</t>
  </si>
  <si>
    <t>都市計画図.pdf</t>
  </si>
  <si>
    <t>59B50A28B73F4CFD8B7600D76B1822B9</t>
  </si>
  <si>
    <t>景観法資料.pdf</t>
  </si>
  <si>
    <t>3710D36D41E3480196F22265783624A6</t>
  </si>
  <si>
    <t>隣地概要書（裏の土地）.pdf</t>
  </si>
  <si>
    <t>21116428E5704AF899C770F33A2522AB</t>
  </si>
  <si>
    <t>田中様　位置指定道路図.pdf</t>
  </si>
  <si>
    <t>2C8D3DF1E3324B18B3049ABD90DB8F28</t>
  </si>
  <si>
    <t>隣地概要書（西側）.pdf</t>
  </si>
  <si>
    <t>B3566EB811EB4DA9AA71E395BB9F72EF</t>
  </si>
  <si>
    <t>位置指定図.pdf</t>
  </si>
  <si>
    <t>D57464BB835D4875A5BE7C835E9F2AE2</t>
  </si>
  <si>
    <t>田中様　下水台帳.pdf</t>
  </si>
  <si>
    <t>564B28B0AA034D95AA3F1BFAEC7DDD64</t>
  </si>
  <si>
    <t>道路台帳.pdf</t>
  </si>
  <si>
    <t>F058A3FE7C314A0EB459598477F0E35B</t>
  </si>
  <si>
    <t>土地境界図.pdf</t>
  </si>
  <si>
    <t>C81B3D8556174E42911D236BE836663B</t>
  </si>
  <si>
    <t>道路種別・幅員.pdf</t>
  </si>
  <si>
    <t>CF545053C9FE435CBAFE7FF423520872</t>
  </si>
  <si>
    <t>下水道台帳図.pdf</t>
  </si>
  <si>
    <t>0DA2CAE1E89E42869E1E4B718C88FFB1</t>
  </si>
  <si>
    <t>田中様　水道台帳.pdf</t>
  </si>
  <si>
    <t>A807CE5C3B05423D9F720B8FA3AC3E0D</t>
  </si>
  <si>
    <t>田中様災害マップ.png</t>
  </si>
  <si>
    <t>F32FA84E49CC449DB393C5D714C174D3</t>
  </si>
  <si>
    <t>05D78AFCF7CF4D95BAEA7E84D0F16C27</t>
  </si>
  <si>
    <t>田中様　敷地図.pdf</t>
  </si>
  <si>
    <t>2E38AF37842A4DEE847FF1EB0EDF8F31</t>
  </si>
  <si>
    <t>八王子市台町１丁目４３－１４不動産登記（地図）2024041500745977 (1).pdf</t>
  </si>
  <si>
    <t>29EB6B159C7445A2B8A4DCEFED44BBBD</t>
  </si>
  <si>
    <t>八王子市台町１丁目４３－２９不動産登記（土地全部事項）2024102100925962.PDF</t>
  </si>
  <si>
    <t>0753FED7B2974E19ABE196B3B50E91A6</t>
  </si>
  <si>
    <t>八王子市台町１丁目４３－１４不動産登記（土地全部事項）2024102100924920.PDF</t>
  </si>
  <si>
    <t>51EB6443C5284F44B2C123A9C22054FA</t>
  </si>
  <si>
    <t>八王子市台町１丁目４３－１４不動産登記（建物全部事項）2025021100084020.PDF</t>
  </si>
  <si>
    <t>3EC098A6F1C243029AEC7C62E3164C7A</t>
  </si>
  <si>
    <t>建物謄本（既存）.PDF</t>
  </si>
  <si>
    <t>DBE54020EE964CD793A85CF82CEE0903</t>
  </si>
  <si>
    <t>田中様　住宅地図.pdf</t>
  </si>
  <si>
    <t>9951BA8E58FA4B7D9A21D07E6406BA1E</t>
  </si>
  <si>
    <t>87DD8E60DBAC45EBB4E1CC6B67722D75</t>
  </si>
  <si>
    <t>八王子市台町一丁目田中勝也様邸現況測量図修正DXF.dxf</t>
  </si>
  <si>
    <t>A95586445C5A491784B0EEFB03E03A58</t>
  </si>
  <si>
    <t>八王子市台町一丁目田中勝也様邸現況測量図修正JWW.jww</t>
  </si>
  <si>
    <t>A52450D7ECEB49B0B09D80BFBF70CF48</t>
  </si>
  <si>
    <t>八王子市台町一丁目田中勝也様邸現況測量図修正PDF.pdf</t>
  </si>
  <si>
    <t>3C694BBD994149419FBD3A2AB516D48E</t>
  </si>
  <si>
    <t>地盤判定書：202515783551_06.pdf</t>
  </si>
  <si>
    <t>C6E1E36451974B4388A944956E92B615</t>
  </si>
  <si>
    <t>田中　勝也様邸　調査報告書.pdf</t>
  </si>
  <si>
    <t>4E5FDFF3244B4E3FAB454F18FDA9AD9A</t>
  </si>
  <si>
    <t>確認済証】(田中邸).pdf</t>
  </si>
  <si>
    <t>780E97419387413A9112F739D3BD5CAE</t>
  </si>
  <si>
    <t>消防】(田中邸).pdf</t>
  </si>
  <si>
    <t>EB26D693DEE44F709AA4957985E4FF84</t>
  </si>
  <si>
    <t>軽微変更】(田中邸).pdf</t>
  </si>
  <si>
    <t>2675C0F524AB4EE9A3DC6DDFF2BBA35E</t>
  </si>
  <si>
    <t>換気プラン】(田中邸).pdf</t>
  </si>
  <si>
    <t>12D4B9366CE24A7791DAD5498B476325</t>
  </si>
  <si>
    <t>2506001678-01A(０５Ａ３ＢＲＯＮＴ　田中様邸).XLSX</t>
  </si>
  <si>
    <t>5D0C7C7348934B32A425D59E03545E99</t>
  </si>
  <si>
    <t>2506001678-01A_付属資料(1次ｴﾈﾙｷﾞｰ).XLSX</t>
  </si>
  <si>
    <t>F994D7DC0F9F4565A5C4336FB098B1A4</t>
  </si>
  <si>
    <t>2506001678-01A機器表.XLSX</t>
  </si>
  <si>
    <t>E6683560BE564A369966D1F0A0C64D5D</t>
  </si>
  <si>
    <t>①長期確認書】(田中邸).pdf</t>
  </si>
  <si>
    <t>0E2BD165678B4515935258C788F73263</t>
  </si>
  <si>
    <t>①長期付属図書】(田中邸).pdf</t>
  </si>
  <si>
    <t>739168BCB6EA4F4C9683FC81010CF275</t>
  </si>
  <si>
    <t>委任状】(田中邸).pdf</t>
  </si>
  <si>
    <t>5AA5D967519D458F8A66155C6E174947</t>
  </si>
  <si>
    <t>維持保全計画書】(田中邸).pdf</t>
  </si>
  <si>
    <t>BC3BDF5E34FA4DEA88BC34657A3253FD</t>
  </si>
  <si>
    <t>認定申請書】(田中邸).docx</t>
  </si>
  <si>
    <t>74A4E9D6704F41C68C1A9FB127C215B5</t>
  </si>
  <si>
    <t>認定通知書(長期優良)】(田中邸).pdf</t>
  </si>
  <si>
    <t>3F8B07C0ED1C4996851F1699FEBADF04</t>
  </si>
  <si>
    <t>完了報告書(長期優良)-行政押印】(田中邸).pdf</t>
  </si>
  <si>
    <t>9E5BE7CE8C0F4A91A75BCA6E4324FCFD</t>
  </si>
  <si>
    <t>完了検査済証】(田中邸).pdf</t>
  </si>
  <si>
    <t>256BDF753CC34041B4879D759BE853D8</t>
  </si>
  <si>
    <t>工事監理報告書】(田中邸).pdf</t>
  </si>
  <si>
    <t>B9EC94E49D4D47AA820DA4452A6BCD9E</t>
  </si>
  <si>
    <t>4者WebUp資料】 05A3BRONT 田中 勝也様邸.pdf</t>
  </si>
  <si>
    <t>B594BC8A0EF549ECA4B50E47B4E9AE74</t>
  </si>
  <si>
    <t>建具表(見積)】大建.pdf</t>
  </si>
  <si>
    <t>42EC60058D0F467E9579916CC0D926FD</t>
  </si>
  <si>
    <t>建具表】大建.pdf</t>
  </si>
  <si>
    <t>6B769FEE124F4943973E291EF1797EB9</t>
  </si>
  <si>
    <t>ファミット】YKKAP.pdf</t>
  </si>
  <si>
    <t>AC4210D1D68B45578BA72CA5D1D34EE3</t>
  </si>
  <si>
    <t>ファミット(見積)】YKKAP.pdf</t>
  </si>
  <si>
    <t>AE72A3C95ECE40FBBE78D88ACED90B80</t>
  </si>
  <si>
    <t>照明】パナソニック.pdf</t>
  </si>
  <si>
    <t>A68D0D9520C94761BBD5657D1C660C50</t>
  </si>
  <si>
    <t>営業】田中勝也様4者前チェックシート.pdf</t>
  </si>
  <si>
    <t>3003F62C0E8F42A2AD68FD29C7A26172</t>
  </si>
  <si>
    <t>軒天】神島化学.pdf</t>
  </si>
  <si>
    <t>F67B5DB389C0406A8CF25AE9C720DE7D</t>
  </si>
  <si>
    <t>玄関ドア】玄関ドア.pdf</t>
  </si>
  <si>
    <t>FBCB79355C9B4A2EA7E4A93CE0DD7F6D</t>
  </si>
  <si>
    <t>薄床見切り材(アルミ)】LIXIL.pdf</t>
  </si>
  <si>
    <t>FBFB84735A4E4913A71B021F75CA057B</t>
  </si>
  <si>
    <t>TVボード】パモウナ.pdf</t>
  </si>
  <si>
    <t>C9482F749FF74B8B8FB493361EAED030</t>
  </si>
  <si>
    <t>アクセントボード】LIXIL.pdf</t>
  </si>
  <si>
    <t>4062656307394A91B48C393558DBC0E1</t>
  </si>
  <si>
    <t>天井出隅Rコーナー】フクビ.pdf</t>
  </si>
  <si>
    <t>FFDB0AEC221C4321A3C64631E8EFEC3A</t>
  </si>
  <si>
    <t>鉄骨手摺】福井アルミ.pdf</t>
  </si>
  <si>
    <t>EC0A48A02CE847D1AAB724FD423876B9</t>
  </si>
  <si>
    <t>マグネットボード・4方樹脂見切】JFE建材.pdf</t>
  </si>
  <si>
    <t>353655C8CCE841889B8D2A6C6EB2DEB0</t>
  </si>
  <si>
    <t>エコカラット】LIXIL.pdf</t>
  </si>
  <si>
    <t>1C02E4F1AA8F4CE996D4F8E64ED0B58C</t>
  </si>
  <si>
    <t>【別紙１】住宅事業者さまへのお願い.pdf</t>
  </si>
  <si>
    <t>3FFBF1654EBB40C888F528ECDD85A3D5</t>
  </si>
  <si>
    <t>【別紙２】エネカリプラス設備の設置等に関して.pdf</t>
  </si>
  <si>
    <t>F4B2F65E8BD84898A34BFEE8C724E0CB</t>
  </si>
  <si>
    <t>【別紙３】ご連絡先確認シート.pdf</t>
  </si>
  <si>
    <t>6E95C3C85698491AB34C862F8B1BFC69</t>
  </si>
  <si>
    <t>田中 勝也さま邸提案書・割付図.pdf</t>
  </si>
  <si>
    <t>CBCA79C425F84CE986697B0547E7115D</t>
  </si>
  <si>
    <t>【新築】ご契約開始までの流れについて.pdf</t>
  </si>
  <si>
    <t>1C5D510B802C49828943E9A5DC19DF61</t>
  </si>
  <si>
    <t>ガス見積 田中勝也様邸 20250527.pdf</t>
  </si>
  <si>
    <t>F3F2F667B087419988634C794830E5E5</t>
  </si>
  <si>
    <t>エコワン図面 田中勝也様邸 20250528.pdf</t>
  </si>
  <si>
    <t>639805BB77B64AEEACF11B5B4A8A40C0</t>
  </si>
  <si>
    <t>エアコン】Panasonic.pdf</t>
  </si>
  <si>
    <t>9829DF22B1304ED7887D2B9346403B17</t>
  </si>
  <si>
    <t>乾太くん】リンナイ.pdf</t>
  </si>
  <si>
    <t>AB05976C8C7B4BBABEF85F897B06EF09</t>
  </si>
  <si>
    <t>Sプレート】パナソニック.pdf</t>
  </si>
  <si>
    <t>CBBFB8C4B77541DA8DED3BEEFA1723E5</t>
  </si>
  <si>
    <t>1階トイレ】TOTO.pdf</t>
  </si>
  <si>
    <t>D63B03AC3B254333B23523E0F7D9F47D</t>
  </si>
  <si>
    <t>2階トイレ】TOTO.pdf</t>
  </si>
  <si>
    <t>2007CC6E6B1A4F7B82C8EECE4729FBB9</t>
  </si>
  <si>
    <t>洗面台】アイカ.pdf</t>
  </si>
  <si>
    <t>1C4D4D2742BC42E5B9DE351B262880F9</t>
  </si>
  <si>
    <t>洗面ミラー】カワジュン.pdf</t>
  </si>
  <si>
    <t>82BC64BEF02D4039974B04DB7BB766E8</t>
  </si>
  <si>
    <t>洗面台(見積)】アイカ.pdf</t>
  </si>
  <si>
    <t>A210A0422CC042D698E92804AD7DCE12</t>
  </si>
  <si>
    <t>UB】TOTO.pdf</t>
  </si>
  <si>
    <t>8471701C2F62466AB751C2708831FFD1</t>
  </si>
  <si>
    <t>設備見積】グラフテクト.pdf</t>
  </si>
  <si>
    <t>0099BF9A5A974DC2A8AD10EBD872D259</t>
  </si>
  <si>
    <t>キッチンパネル セラール(LDK)】アイカ.pdf</t>
  </si>
  <si>
    <t>8BC087D131A04E1AA9777C21C19C7A79</t>
  </si>
  <si>
    <t>トイレ・UB設備(見積)】TOTO.pdf</t>
  </si>
  <si>
    <t>84FC3C9514D64BB9AF32EC24B2D2ED19</t>
  </si>
  <si>
    <t>ダイニングテーブル】グラフテクト.pdf</t>
  </si>
  <si>
    <t>5788543036A94066AE9E4F101611D90E</t>
  </si>
  <si>
    <t>キッチン・食器棚(プラン表)】グラフテクト.pdf</t>
  </si>
  <si>
    <t>5DDE7EC2B47348C39BB978D1365DD656</t>
  </si>
  <si>
    <t>〇キッチン・食器棚(図面)】グラフテクト.pdf</t>
  </si>
  <si>
    <t>B3879B1847AB4400ABA8726364D67483</t>
  </si>
  <si>
    <t>2025.09.04 田中 勝也様邸 基礎伏図.pdf</t>
  </si>
  <si>
    <t>818FA8B3DBC6405A8823CCCEF385F1D0</t>
  </si>
  <si>
    <t>2025.08.11 田中 勝也様邸（プレカット図面）.pdf</t>
  </si>
  <si>
    <t>6562DA8619B048EF8E31861AB9C71A8C</t>
  </si>
  <si>
    <t>田中勝也様邸.pdf</t>
  </si>
  <si>
    <t>D04F8EC1958740EAA2B2749F80057871</t>
  </si>
  <si>
    <t>最終図面 田中勝也様邸.pdf</t>
  </si>
  <si>
    <t>223B508493D2413A8B16CEF381BA9D69</t>
  </si>
  <si>
    <t>田中勝也様邸（西東京建設様）配管図.pdf</t>
  </si>
  <si>
    <t>3AB2350EEB2D4F6AA200B422EB8E7860</t>
  </si>
  <si>
    <t>2025.07.09  田中 勝也様邸 （N値計算表）.pdf</t>
  </si>
  <si>
    <t>EEC47417BD75469695F682C07A5C0471</t>
  </si>
  <si>
    <t>承認図　BRO　田中勝也様邸　08.19.pdf</t>
  </si>
  <si>
    <t>9D79064540A047C0874283DA2D8598C5</t>
  </si>
  <si>
    <t>再承認図　BRO　田中勝也様邸　09.04.pdf</t>
  </si>
  <si>
    <t>B32780E7038D453EA791D8C78B60C01B</t>
  </si>
  <si>
    <t>再承認図　BRO　田中勝也様邸　09.05.pdf</t>
  </si>
  <si>
    <t>811D9EFD327F41B181B7FF050A8AFE07</t>
  </si>
  <si>
    <t>09.21再承認図　BRO　田中勝也様邸.pdf</t>
  </si>
  <si>
    <t>96FD68719E004EF68C15B167409714D7</t>
  </si>
  <si>
    <t>11.14再承認図　BRO　田中勝也様邸.pdf</t>
  </si>
  <si>
    <t>64F4D4EAE76948EAA5E4D190A35673E8</t>
  </si>
  <si>
    <t>11.30再承認図　BRO　田中勝也様邸.pdf</t>
  </si>
  <si>
    <t>6995E57365B44BF8BF204779435B7A08</t>
  </si>
  <si>
    <t>建具】大建.pdf</t>
  </si>
  <si>
    <t>96B6A7060D704548AAFBD44753F0BCDC</t>
  </si>
  <si>
    <t>建具見積】大建.pdf</t>
  </si>
  <si>
    <t>CBEDDFBD3B5A48A3A3FF92375F9C0499</t>
  </si>
  <si>
    <t>BB509498EF07456E88425E5DBF370BE3</t>
  </si>
  <si>
    <t>ファミット見積】YKK.pdf</t>
  </si>
  <si>
    <t>15C1C464681F4C7696833A2638240791</t>
  </si>
  <si>
    <t>09.21修正　建具見積】大建.pdf</t>
  </si>
  <si>
    <t>948535D631D5477D8CCD21C7E29DC998</t>
  </si>
  <si>
    <t>09.21修正　建具】大建.pdf</t>
  </si>
  <si>
    <t>60916BAC0DB04D9B8B7F045ADC6222A3</t>
  </si>
  <si>
    <t>照明】Panasonic.pdf</t>
  </si>
  <si>
    <t>B15516DD42144482AFEBB03A73A63A87</t>
  </si>
  <si>
    <t>DE58E82977104F3A8FBE657F44CE768B</t>
  </si>
  <si>
    <t>67E0869F1D464B829DFAC5D693F7DD89</t>
  </si>
  <si>
    <t>0916修正　照明】Panasonic.pdf</t>
  </si>
  <si>
    <t>0A5DC58003334A62B6EA9C9265E048ED</t>
  </si>
  <si>
    <t>ブランクチップ】Panasonic.pdf</t>
  </si>
  <si>
    <t>2DB201E7CFA24595AAADE304CCC4EC27</t>
  </si>
  <si>
    <t>キッチン・食器棚】グラフテクト.pdf</t>
  </si>
  <si>
    <t>16E147FAC50A49CE8ECE7C4F35F31C9E</t>
  </si>
  <si>
    <t>0917修正　キッチン】グラフテクト.pdf</t>
  </si>
  <si>
    <t>F206346F338540C4933D7B347CE97114</t>
  </si>
  <si>
    <t>0917修正　ダイニングテーブル】グラフテクト.pdf</t>
  </si>
  <si>
    <t>641F16C66E5E4960B36E6113DC004076</t>
  </si>
  <si>
    <t>0917修正　食器棚】グラフテクト.pdf</t>
  </si>
  <si>
    <t>92339DE52C3C4A66A54C84F2781ABAB5</t>
  </si>
  <si>
    <t>0917修正　配膳カウンター】グラフテクト.pdf</t>
  </si>
  <si>
    <t>F1A2E4F3BDCA48D4BD2528A81EF8A1B8</t>
  </si>
  <si>
    <t>09.17修正　グラフテクト仕様確認表.pdf</t>
  </si>
  <si>
    <t>3A7935BE8CC940B5B358EB1C2090A1D2</t>
  </si>
  <si>
    <t>D8D220DF7E6E4AC694B7BF2DE8B81150</t>
  </si>
  <si>
    <t>57F7A5B23DCD47DFA8D3F0AC32C02E5E</t>
  </si>
  <si>
    <t>65B54246C0C849F2BE6300E7132555B0</t>
  </si>
  <si>
    <t>5C07C3096D40473B92BACD76531D964D</t>
  </si>
  <si>
    <t>D6AF8DB1BCA94D639B4CA4C546514869</t>
  </si>
  <si>
    <t>B95796BCED40448BB3D2D1739BCAD969</t>
  </si>
  <si>
    <t>設備見積】TOTO.pdf</t>
  </si>
  <si>
    <t>F673B0A6F0B549559493ADB296E85D06</t>
  </si>
  <si>
    <t>C1FB6EF090A34591A8B6A9D13594746C</t>
  </si>
  <si>
    <t>09.17修正　設備見積】グラフテクト.pdf</t>
  </si>
  <si>
    <t>F4D9757DA3E54B8CBFE840E2A130D472</t>
  </si>
  <si>
    <t>立水栓】オンリーワン.pdf</t>
  </si>
  <si>
    <t>BB536D98DB874714979489A7442835D1</t>
  </si>
  <si>
    <t>8F6B886DB50246FA8D766FEE4151A59F</t>
  </si>
  <si>
    <t>玄関ドア】YKK.pdf</t>
  </si>
  <si>
    <t>B4166FBC59A84A86A95E3BAC260A4CA0</t>
  </si>
  <si>
    <t>311DCB7C8A12455197E3FB5D7B1C6632</t>
  </si>
  <si>
    <t>CF19BAD1761E43B78CCA7B8321AFF04B</t>
  </si>
  <si>
    <t>9D4B690C24D54C2F8D7625627A7558B5</t>
  </si>
  <si>
    <t>06C5C77EB14748D7B4E25B0648B21DB3</t>
  </si>
  <si>
    <t>93349DA9F60B45BEAB208E19DC809EC3</t>
  </si>
  <si>
    <t>15734083281E421E9DA719C83BB03560</t>
  </si>
  <si>
    <t>Kacu】森田アルミ.pdf</t>
  </si>
  <si>
    <t>6A0157BF1291453E94B521F7CF25FD6F</t>
  </si>
  <si>
    <t>鉄骨手摺】　福井アルミ(1115修正).pdf</t>
  </si>
  <si>
    <t>2FF607AA238F47B88BBA04B39783725F</t>
  </si>
  <si>
    <t>521E104D7E344CB2A3AFD18FF62920FA</t>
  </si>
  <si>
    <t>CD7C1F3DE18448A5909CDECE9E9B29FB</t>
  </si>
  <si>
    <t>AF66BD025A364158A5AF8B78D7646C4A</t>
  </si>
  <si>
    <t>1AFBD7CA6EF543B29D30F3F62ACC6EEF</t>
  </si>
  <si>
    <t>5FB0A8AF1C204C1D8E0268F6AB0B591C</t>
  </si>
  <si>
    <t>73E6EFAA68624C9090D81271E0149040</t>
  </si>
  <si>
    <t>田中　勝也様邸　配置立会い書.pdf</t>
  </si>
  <si>
    <t>D3D674B38A64470BBA3F09EEB2654EDE</t>
  </si>
  <si>
    <t>田中様邸　配線立会い書.pdf</t>
  </si>
  <si>
    <t>0A6753A6E4F9418886C77B1925BDFCDD</t>
  </si>
  <si>
    <t>田中勝也様邸　工程表.pdf</t>
  </si>
  <si>
    <t>69E830B3EA42480AA0E45B41A7FA3455</t>
  </si>
  <si>
    <t>田中様邸　省エネ説明書.pdf</t>
  </si>
  <si>
    <t>B0A46A31E10A4A658FEE6D14B61DCA89</t>
  </si>
  <si>
    <t>田中様邸　省エネ適合説明書.pdf</t>
  </si>
  <si>
    <t>B4D76AE310C04E938D4902F5F6570DF5</t>
  </si>
  <si>
    <t>田中様邸　省エネ性能ラベル　レポート.pdf</t>
  </si>
  <si>
    <t>A79DACB110834331BB574F5853DD6268</t>
  </si>
  <si>
    <t>田中様邸　省エネ性能ラベル.jpg</t>
  </si>
  <si>
    <t>B214C378276F4CF08CE08C3E3A8C926D</t>
  </si>
  <si>
    <t>田中様邸　省エネ性能ラベル.pdf</t>
  </si>
  <si>
    <t>634F6F7F69054CC0A9DA61034FA29EF2</t>
  </si>
  <si>
    <t>田中　勝也様邸　配置検査表.pdf</t>
  </si>
  <si>
    <t>98D8D65F833B440887A7FABE7A402D2C</t>
  </si>
  <si>
    <t>田中　勝也様邸　基礎完了検査表.pdf</t>
  </si>
  <si>
    <t>1D982791B4484B389CB5C0BC8CBB5845</t>
  </si>
  <si>
    <t>田中　勝也様邸　基礎配筋検査表.pdf</t>
  </si>
  <si>
    <t>BEF43A285B444FA3A38ADA01D08C812D</t>
  </si>
  <si>
    <t>田中　勝也様邸　構造検査表.pdf</t>
  </si>
  <si>
    <t>1915550F976549CDA09799383DA49923</t>
  </si>
  <si>
    <t>田中　勝也様邸　防水・断熱検査表.pdf</t>
  </si>
  <si>
    <t>8D5320E182264C27B2000539F3B9AC80</t>
  </si>
  <si>
    <t>田中　勝也様邸　造作検査表.pdf</t>
  </si>
  <si>
    <t>CEB1FED991AF4BE1B91046E536E25DA8</t>
  </si>
  <si>
    <t>田中　勝也様邸　完成検査表.pdf</t>
  </si>
  <si>
    <t>4A8D918050AF42929FADC71661BD4C3A</t>
  </si>
  <si>
    <t>引渡説明会チェックシート.pdf</t>
  </si>
  <si>
    <t>B8BF9F45F0134770AE74ED86E520E4DD</t>
  </si>
  <si>
    <t>田中様邸　納入書.pdf</t>
  </si>
  <si>
    <t>B52161C3732645E899ED88A303699ACA</t>
  </si>
  <si>
    <t>田中様邸　配合計画書.pdf</t>
  </si>
  <si>
    <t>25C81B7EA8764817B499F21E23D27533</t>
  </si>
  <si>
    <t>田中様　追加変更契約書（No,1）.pdf</t>
  </si>
  <si>
    <t>0C85C7B3E9154855880ACD4DD867B83C</t>
  </si>
  <si>
    <t>田中様＿建築工事請負契約書.pdf</t>
  </si>
  <si>
    <t>B4DD04EDA50B40AB842415B77C2D973B</t>
  </si>
  <si>
    <t>05A3BRONT　田中勝也邸＿地盤保証制度保証書.pdf</t>
  </si>
  <si>
    <t>44E58217C79F498E970BD11F03E2B949</t>
  </si>
  <si>
    <t>保証契約書.pdf</t>
  </si>
  <si>
    <t>775E1A1881DA4E07909426B363071EEF</t>
  </si>
  <si>
    <t>田中勝也様邸　シロアリ防除保証書.pdf</t>
  </si>
  <si>
    <t>F5A2D46F0EAB4666A77E5B6AA80C79D6</t>
  </si>
  <si>
    <t>アフターメンテナンス個人情報取扱.pdf</t>
  </si>
  <si>
    <t>4529C11DCC4844E59E815E7D09CEA7CF</t>
  </si>
  <si>
    <t>建物引き渡し受取書.pdf</t>
  </si>
  <si>
    <t>6D2FB004D993432FB1A31EE7F78AB05D</t>
  </si>
  <si>
    <t>鍵受領書.pdf</t>
  </si>
  <si>
    <t>C50AE1A2556840D9BBCCE192BF5EF3B4</t>
  </si>
  <si>
    <t>引き渡し書類確認書.pdf</t>
  </si>
  <si>
    <t>74110DADC66A4B86944A5041EA0792B2</t>
  </si>
  <si>
    <t>田中勝也様確定プラン.pdf</t>
  </si>
  <si>
    <t>05A3BRONT■田中 勝也■リードタイム</t>
  </si>
  <si>
    <t>["725","481","732","695","932","741"]</t>
  </si>
  <si>
    <t>05A3BRONT■田中 勝也■工期計算表</t>
  </si>
  <si>
    <t>["725","481","732","695","932"]</t>
  </si>
  <si>
    <t>05A3BRONT■田中 勝也■追加変更申請■0001</t>
  </si>
  <si>
    <t>追加変更申請</t>
  </si>
  <si>
    <t>["803","685","654","1008","670","975"]</t>
  </si>
  <si>
    <t>["803","993","685","979","703","702","423","987","677","975"]</t>
  </si>
  <si>
    <t>["785","786","653","655","459","463","691"]</t>
  </si>
  <si>
    <t>新規申請開始</t>
  </si>
  <si>
    <t>[追変]積算承認</t>
  </si>
  <si>
    <t>["725","481","732","932","741"]</t>
  </si>
  <si>
    <t>ネクストイノベーション</t>
  </si>
  <si>
    <t>["952"]</t>
  </si>
  <si>
    <t>田中様、金井</t>
  </si>
  <si>
    <t>[{"0":"追加","1":"仕様打合せ変更差額一式","2":"","3":"別紙明細","4":1861799,"5":""},{"0":"追加","1":"エアコン工事","2":"","3":"業者見積","4":358000,"5":""},{"0":"","1":"","2":"","3":"","4":0,"5":""},{"0":"","1":"","2":"","3":"","4":0,"5":""},{"0":"","1":"","2":"","3":"","4":0,"5":""},{"0":"","1":"","2":"","3":"","4":0,"5":""},{"0":"","1":"","2":"","3":"","4":0,"5":""},{"0":"","1":"","2":"","3":"","4":0,"5":""},{"0":"","1":"","2":"","3":"","4":0,"5":""},{"0":"","1":"","2":"","3":"","4":0,"5":""},{"0":"","1":"","2":"","3":"","4":0,"5":""},{"0":"","1":"","2":"","3":"","4":0,"5":""},{"0":"","1":"","2":"","3":"","4":0,"5":""},{"0":"","1":"","2":"","3":"","4":0,"5":""},{"0":"","1":"","2":"","3":"","4":0,"5":""}]</t>
  </si>
  <si>
    <t>[{"0":"小計","1":2219799,"2":""},{"0":"消費税","1":221979,"2":"10%"},{"0":"合計","1":2441778,"2":""}]</t>
  </si>
  <si>
    <t>長期申請費用</t>
  </si>
  <si>
    <t>子育てグリーン住宅補助金申請費用</t>
  </si>
  <si>
    <t>エネカリ導入電気工事費用</t>
  </si>
  <si>
    <t>東京ゼロエミ住宅申請費</t>
  </si>
  <si>
    <t>子育てグリーン住宅申請費上乗せ</t>
  </si>
  <si>
    <t>養生費用上乗せ</t>
  </si>
  <si>
    <t>タカラキッチン　カップボードサービス</t>
  </si>
  <si>
    <t>パワーボードサービス</t>
  </si>
  <si>
    <t>洗面化粧台サービス</t>
  </si>
  <si>
    <t>改良工事サービス</t>
  </si>
  <si>
    <t>確認申請費差額</t>
  </si>
  <si>
    <t>武藤さん初回接客アポ</t>
  </si>
  <si>
    <t>ピタゴラス使用費用（遠藤監督確認済）</t>
  </si>
  <si>
    <t>鉄板養生費用（遠藤監督確認済）</t>
  </si>
  <si>
    <t>安全対策費（その他現場費用）</t>
  </si>
  <si>
    <t>蓄電池</t>
  </si>
  <si>
    <t>ガス工事費用</t>
  </si>
  <si>
    <t>水道オプション工事</t>
  </si>
  <si>
    <t>子育てエコホーム補助金申請費用</t>
  </si>
  <si>
    <t>安全対策費</t>
  </si>
  <si>
    <t>2023-10-06T16:51:52</t>
  </si>
  <si>
    <t>2022-08-09T17:29:46</t>
  </si>
  <si>
    <t>ネクストイノベーション（西東京）</t>
  </si>
  <si>
    <t>2022-08-09T17:24:41</t>
  </si>
  <si>
    <t>191-0053</t>
  </si>
  <si>
    <t>東京都日野市豊田4-37-12グランシェール豊田1階</t>
  </si>
  <si>
    <t>042-540-0505</t>
  </si>
  <si>
    <t>042-514-9010</t>
  </si>
  <si>
    <t>2024-04-21T13:39:17</t>
  </si>
  <si>
    <t>actie 八王子</t>
  </si>
  <si>
    <t>2022-08-09T18:05:11</t>
  </si>
  <si>
    <t>2022-08-09T18:45:26</t>
  </si>
  <si>
    <t>smart style</t>
  </si>
  <si>
    <t>自己資金</t>
  </si>
  <si>
    <t>設計契約時</t>
    <phoneticPr fontId="1"/>
  </si>
  <si>
    <t>支払済</t>
    <phoneticPr fontId="1"/>
  </si>
  <si>
    <t>契約時</t>
  </si>
  <si>
    <t>支払予定</t>
  </si>
  <si>
    <t>引き渡し時</t>
  </si>
  <si>
    <t>---ダウンロード開始---</t>
  </si>
  <si>
    <t>05A3BRONT■田中勝也</t>
  </si>
  <si>
    <t>425.承認図・詳細図\承認図　BRO　田中勝也様邸　08.19.pdf</t>
  </si>
  <si>
    <t>425.承認図・詳細図\再承認図　BRO　田中勝也様邸　09.04.pdf</t>
  </si>
  <si>
    <t>425.承認図・詳細図\再承認図　BRO　田中勝也様邸　09.05.pdf</t>
  </si>
  <si>
    <t>425.承認図・詳細図\09.21再承認図　BRO　田中勝也様邸.pdf</t>
  </si>
  <si>
    <t>425.承認図・詳細図\11.14再承認図　BRO　田中勝也様邸.pdf</t>
  </si>
  <si>
    <t>425.承認図・詳細図\11.30再承認図　BRO　田中勝也様邸.pdf</t>
  </si>
  <si>
    <t>---ダウンロード終了---</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</si>
</sst>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176" formatCode="&quot;¥&quot;#,##0_);[Red]\(&quot;¥&quot;#,##0\)"/>
    <numFmt numFmtId="177" formatCode="yyyy/m/d\ h:mm;@"/>
    <numFmt numFmtId="178" formatCode="General&quot;ヶ月&quot;"/>
    <numFmt numFmtId="179" formatCode="yyyy/m/d;;"/>
    <numFmt numFmtId="180" formatCode="General;;"/>
    <numFmt numFmtId="181" formatCode="yyyy/m/d\ h:mm;;"/>
    <numFmt numFmtId="182" formatCode="#,##0;[Red]\-#,##0;"/>
    <numFmt numFmtId="183" formatCode="[$-F800]dddd\,\ mmmm\ dd\,\ yyyy"/>
    <numFmt numFmtId="184" formatCode="0.0%"/>
    <numFmt numFmtId="185" formatCode=";;"/>
    <numFmt numFmtId="186" formatCode="yyyy/mm/dd"/>
    <numFmt numFmtId="187" formatCode="#,##0.00&quot;㎡&quot;;[Red]\-#,##0.00&quot;㎡&quot;;"/>
    <numFmt numFmtId="188" formatCode="#,##0.00&quot;坪&quot;;[Red]\-#,##0.00&quot;坪&quot;;"/>
    <numFmt numFmtId="189" formatCode="yyyy/mm/dd;;"/>
    <numFmt numFmtId="190" formatCode="&quot;¥&quot;#,##0_);[Red]\(&quot;¥&quot;#,##0\);"/>
    <numFmt numFmtId="191" formatCode="#,##0_ ;&quot;△&quot;#,##0_ "/>
    <numFmt numFmtId="192" formatCode="yyyy/m/d;@"/>
    <numFmt numFmtId="193" formatCode="m/d;@"/>
    <numFmt numFmtId="194" formatCode="&quot;+&quot;General&quot;日&quot;"/>
    <numFmt numFmtId="195" formatCode="#&quot;日&quot;"/>
    <numFmt numFmtId="196" formatCode="_(&quot;¥&quot;* #,##0_);_(&quot;¥&quot;* \(#,##0\);_(&quot;¥&quot;* &quot;-&quot;_);_(@_)"/>
    <numFmt numFmtId="197" formatCode="#,##0.0;[Red]\-#,##0.0"/>
    <numFmt numFmtId="198" formatCode="0.0"/>
    <numFmt numFmtId="199" formatCode="#,##0.00_ ;&quot;△&quot;#,##0.00_ "/>
  </numFmts>
  <fonts count="108">
    <font>
      <sz val="10"/>
      <color theme="1"/>
      <name val="Meiryo UI"/>
      <family val="2"/>
      <charset val="128"/>
    </font>
    <font>
      <sz val="6"/>
      <name val="Meiryo UI"/>
      <family val="2"/>
      <charset val="128"/>
    </font>
    <font>
      <sz val="10"/>
      <color theme="1"/>
      <name val="Meiryo UI"/>
      <family val="2"/>
      <charset val="128"/>
    </font>
    <font>
      <b/>
      <sz val="11"/>
      <color theme="3"/>
      <name val="Meiryo UI"/>
      <family val="2"/>
      <charset val="128"/>
    </font>
    <font>
      <b/>
      <sz val="13"/>
      <color theme="3"/>
      <name val="Meiryo UI"/>
      <family val="2"/>
      <charset val="128"/>
    </font>
    <font>
      <sz val="10"/>
      <color rgb="FF3F3F76"/>
      <name val="Meiryo UI"/>
      <family val="2"/>
      <charset val="128"/>
    </font>
    <font>
      <sz val="10.5"/>
      <name val="Meiryo UI"/>
      <family val="3"/>
      <charset val="128"/>
    </font>
    <font>
      <sz val="11"/>
      <color theme="1"/>
      <name val="Meiryo UI"/>
      <family val="2"/>
      <charset val="128"/>
    </font>
    <font>
      <b/>
      <sz val="10"/>
      <color theme="1"/>
      <name val="Meiryo UI"/>
      <family val="3"/>
      <charset val="128"/>
    </font>
    <font>
      <sz val="10"/>
      <color rgb="FFFF0000"/>
      <name val="Meiryo UI"/>
      <family val="3"/>
      <charset val="128"/>
    </font>
    <font>
      <b/>
      <sz val="10"/>
      <color rgb="FFFF0000"/>
      <name val="Meiryo UI"/>
      <family val="3"/>
      <charset val="128"/>
    </font>
    <font>
      <sz val="8"/>
      <color theme="1"/>
      <name val="Meiryo UI"/>
      <family val="3"/>
      <charset val="128"/>
    </font>
    <font>
      <sz val="8"/>
      <color theme="1"/>
      <name val="Meiryo UI"/>
      <family val="2"/>
      <charset val="128"/>
    </font>
    <font>
      <sz val="10"/>
      <color theme="1"/>
      <name val="Meiryo UI"/>
      <family val="3"/>
      <charset val="128"/>
    </font>
    <font>
      <b/>
      <sz val="14"/>
      <color theme="1"/>
      <name val="Meiryo UI"/>
      <family val="3"/>
      <charset val="128"/>
    </font>
    <font>
      <b/>
      <sz val="12"/>
      <color rgb="FF000000"/>
      <name val="Meiryo UI"/>
      <family val="3"/>
      <charset val="128"/>
    </font>
    <font>
      <sz val="12"/>
      <color rgb="FF000000"/>
      <name val="Meiryo UI"/>
      <family val="3"/>
      <charset val="128"/>
    </font>
    <font>
      <b/>
      <sz val="16"/>
      <color rgb="FF000000"/>
      <name val="Meiryo UI"/>
      <family val="3"/>
      <charset val="128"/>
    </font>
    <font>
      <b/>
      <u/>
      <sz val="12"/>
      <color rgb="FF0000FF"/>
      <name val="Meiryo UI"/>
      <family val="2"/>
      <charset val="128"/>
    </font>
    <font>
      <b/>
      <sz val="12"/>
      <color theme="0"/>
      <name val="Meiryo UI"/>
      <family val="3"/>
      <charset val="128"/>
    </font>
    <font>
      <sz val="12"/>
      <color theme="1"/>
      <name val="Meiryo UI"/>
      <family val="3"/>
      <charset val="128"/>
    </font>
    <font>
      <b/>
      <sz val="12"/>
      <color theme="1"/>
      <name val="Meiryo UI"/>
      <family val="3"/>
      <charset val="128"/>
    </font>
    <font>
      <b/>
      <sz val="16"/>
      <color theme="0"/>
      <name val="Meiryo UI"/>
      <family val="3"/>
      <charset val="128"/>
    </font>
    <font>
      <sz val="16"/>
      <color theme="1"/>
      <name val="Meiryo UI"/>
      <family val="3"/>
      <charset val="128"/>
    </font>
    <font>
      <sz val="12"/>
      <name val="Meiryo UI"/>
      <family val="3"/>
      <charset val="128"/>
    </font>
    <font>
      <b/>
      <sz val="10"/>
      <color theme="0"/>
      <name val="Meiryo UI"/>
      <family val="2"/>
      <charset val="128"/>
    </font>
    <font>
      <sz val="10"/>
      <color theme="0"/>
      <name val="Meiryo UI"/>
      <family val="2"/>
      <charset val="128"/>
    </font>
    <font>
      <b/>
      <sz val="8"/>
      <color theme="0"/>
      <name val="Meiryo UI"/>
      <family val="2"/>
      <charset val="128"/>
    </font>
    <font>
      <b/>
      <sz val="8"/>
      <color theme="0"/>
      <name val="Meiryo UI"/>
      <family val="3"/>
      <charset val="128"/>
    </font>
    <font>
      <b/>
      <sz val="10"/>
      <color theme="0"/>
      <name val="Meiryo UI"/>
      <family val="3"/>
      <charset val="128"/>
    </font>
    <font>
      <sz val="12"/>
      <color theme="1"/>
      <name val="Meiryo UI"/>
      <family val="2"/>
      <charset val="128"/>
    </font>
    <font>
      <b/>
      <sz val="8"/>
      <color rgb="FFFF0000"/>
      <name val="Meiryo UI"/>
      <family val="3"/>
      <charset val="128"/>
    </font>
    <font>
      <sz val="10"/>
      <color rgb="FF000000"/>
      <name val="Meiryo UI"/>
      <family val="3"/>
      <charset val="128"/>
    </font>
    <font>
      <b/>
      <sz val="8"/>
      <color theme="1"/>
      <name val="Meiryo UI"/>
      <family val="3"/>
      <charset val="128"/>
    </font>
    <font>
      <sz val="8"/>
      <color rgb="FFFF0000"/>
      <name val="Meiryo UI"/>
      <family val="3"/>
      <charset val="128"/>
    </font>
    <font>
      <b/>
      <u/>
      <sz val="10"/>
      <color rgb="FF0000FF"/>
      <name val="Meiryo UI"/>
      <family val="3"/>
      <charset val="128"/>
    </font>
    <font>
      <sz val="10"/>
      <name val="Meiryo UI"/>
      <family val="3"/>
      <charset val="128"/>
    </font>
    <font>
      <sz val="16"/>
      <color theme="1"/>
      <name val="Meiryo UI"/>
      <family val="2"/>
      <charset val="128"/>
    </font>
    <font>
      <sz val="6"/>
      <name val="游ゴシック"/>
      <family val="2"/>
      <charset val="128"/>
      <scheme val="minor"/>
    </font>
    <font>
      <b/>
      <sz val="20"/>
      <color theme="0"/>
      <name val="Meiryo UI"/>
      <family val="3"/>
      <charset val="128"/>
    </font>
    <font>
      <sz val="11"/>
      <color theme="1"/>
      <name val="游ゴシック"/>
      <family val="2"/>
      <charset val="128"/>
      <scheme val="minor"/>
    </font>
    <font>
      <sz val="16"/>
      <name val="Meiryo UI"/>
      <family val="3"/>
      <charset val="128"/>
    </font>
    <font>
      <sz val="12"/>
      <color rgb="FFFF0000"/>
      <name val="Meiryo UI"/>
      <family val="3"/>
      <charset val="128"/>
    </font>
    <font>
      <sz val="12"/>
      <color theme="0"/>
      <name val="Meiryo UI"/>
      <family val="3"/>
      <charset val="128"/>
    </font>
    <font>
      <b/>
      <sz val="14"/>
      <color theme="0"/>
      <name val="Meiryo UI"/>
      <family val="3"/>
      <charset val="128"/>
    </font>
    <font>
      <b/>
      <sz val="14"/>
      <name val="Meiryo UI"/>
      <family val="3"/>
      <charset val="128"/>
    </font>
    <font>
      <sz val="14"/>
      <color theme="1"/>
      <name val="BIZ UDゴシック"/>
      <family val="3"/>
      <charset val="128"/>
    </font>
    <font>
      <sz val="28"/>
      <color theme="1"/>
      <name val="BIZ UDゴシック"/>
      <family val="3"/>
      <charset val="128"/>
    </font>
    <font>
      <b/>
      <sz val="48"/>
      <color theme="0"/>
      <name val="BIZ UDゴシック"/>
      <family val="3"/>
      <charset val="128"/>
    </font>
    <font>
      <b/>
      <sz val="36"/>
      <color theme="0"/>
      <name val="BIZ UDゴシック"/>
      <family val="3"/>
      <charset val="128"/>
    </font>
    <font>
      <sz val="20"/>
      <color theme="1"/>
      <name val="BIZ UDゴシック"/>
      <family val="3"/>
      <charset val="128"/>
    </font>
    <font>
      <sz val="8"/>
      <color theme="1"/>
      <name val="BIZ UDゴシック"/>
      <family val="3"/>
      <charset val="128"/>
    </font>
    <font>
      <b/>
      <sz val="30"/>
      <color rgb="FFFF0000"/>
      <name val="BIZ UDゴシック"/>
      <family val="3"/>
      <charset val="128"/>
    </font>
    <font>
      <b/>
      <sz val="20"/>
      <color theme="1"/>
      <name val="BIZ UDゴシック"/>
      <family val="3"/>
      <charset val="128"/>
    </font>
    <font>
      <sz val="1"/>
      <name val="Yu Gothic"/>
      <charset val="128"/>
    </font>
    <font>
      <b/>
      <sz val="20"/>
      <color rgb="FFFF0000"/>
      <name val="BIZ UDゴシック"/>
      <family val="3"/>
      <charset val="128"/>
    </font>
    <font>
      <b/>
      <sz val="12"/>
      <color theme="0"/>
      <name val="BIZ UDゴシック"/>
      <family val="3"/>
      <charset val="128"/>
    </font>
    <font>
      <sz val="26"/>
      <color theme="1"/>
      <name val="BIZ UDゴシック"/>
      <family val="3"/>
      <charset val="128"/>
    </font>
    <font>
      <b/>
      <sz val="14"/>
      <color theme="1"/>
      <name val="BIZ UDゴシック"/>
      <family val="3"/>
      <charset val="128"/>
    </font>
    <font>
      <sz val="12"/>
      <color theme="1"/>
      <name val="BIZ UDゴシック"/>
      <family val="3"/>
      <charset val="128"/>
    </font>
    <font>
      <sz val="11"/>
      <color theme="1"/>
      <name val="BIZ UDゴシック"/>
      <family val="3"/>
      <charset val="128"/>
    </font>
    <font>
      <u/>
      <sz val="11"/>
      <color theme="10"/>
      <name val="游ゴシック"/>
      <family val="2"/>
      <charset val="128"/>
      <scheme val="minor"/>
    </font>
    <font>
      <b/>
      <u/>
      <sz val="20"/>
      <color theme="10"/>
      <name val="游ゴシック"/>
      <family val="3"/>
      <charset val="128"/>
      <scheme val="minor"/>
    </font>
    <font>
      <b/>
      <sz val="14"/>
      <name val="BIZ UDゴシック"/>
      <family val="3"/>
      <charset val="128"/>
    </font>
    <font>
      <b/>
      <sz val="22"/>
      <color rgb="FFFFFF00"/>
      <name val="BIZ UDゴシック"/>
      <family val="3"/>
      <charset val="128"/>
    </font>
    <font>
      <b/>
      <u/>
      <sz val="22"/>
      <color rgb="FFFFFF00"/>
      <name val="BIZ UDゴシック"/>
      <family val="3"/>
      <charset val="128"/>
    </font>
    <font>
      <b/>
      <sz val="20"/>
      <color rgb="FFFFFF00"/>
      <name val="BIZ UDゴシック"/>
      <family val="3"/>
      <charset val="128"/>
    </font>
    <font>
      <sz val="12"/>
      <color rgb="FFFF0000"/>
      <name val="BIZ UDゴシック"/>
      <family val="3"/>
      <charset val="128"/>
    </font>
    <font>
      <b/>
      <sz val="14"/>
      <color rgb="FFFF0000"/>
      <name val="BIZ UDゴシック"/>
      <family val="3"/>
      <charset val="128"/>
    </font>
    <font>
      <sz val="11"/>
      <name val="ＭＳ Ｐゴシック"/>
      <family val="3"/>
      <charset val="128"/>
    </font>
    <font>
      <sz val="12"/>
      <name val="BIZ UDゴシック"/>
      <family val="3"/>
      <charset val="128"/>
    </font>
    <font>
      <sz val="6"/>
      <name val="ＭＳ Ｐゴシック"/>
      <family val="3"/>
      <charset val="128"/>
    </font>
    <font>
      <sz val="14"/>
      <name val="BIZ UDゴシック"/>
      <family val="3"/>
      <charset val="128"/>
    </font>
    <font>
      <sz val="10"/>
      <color theme="0"/>
      <name val="Meiryo UI"/>
      <family val="3"/>
      <charset val="128"/>
    </font>
    <font>
      <sz val="11"/>
      <color indexed="8"/>
      <name val="Arial1"/>
      <family val="3"/>
      <charset val="128"/>
    </font>
    <font>
      <sz val="13"/>
      <name val="Meiryo UI"/>
      <family val="3"/>
      <charset val="128"/>
    </font>
    <font>
      <sz val="10"/>
      <color indexed="8"/>
      <name val="Meiryo UI"/>
      <family val="3"/>
      <charset val="128"/>
    </font>
    <font>
      <b/>
      <sz val="10"/>
      <color indexed="8"/>
      <name val="Meiryo UI"/>
      <family val="3"/>
      <charset val="128"/>
    </font>
    <font>
      <sz val="6"/>
      <name val="Arial1"/>
      <family val="3"/>
      <charset val="128"/>
    </font>
    <font>
      <b/>
      <sz val="12"/>
      <color rgb="FFFF0000"/>
      <name val="Meiryo UI"/>
      <family val="3"/>
      <charset val="128"/>
    </font>
    <font>
      <b/>
      <sz val="14"/>
      <color rgb="FFFF0000"/>
      <name val="Meiryo UI"/>
      <family val="3"/>
      <charset val="128"/>
    </font>
    <font>
      <b/>
      <sz val="18"/>
      <name val="Meiryo UI"/>
      <family val="3"/>
      <charset val="128"/>
    </font>
    <font>
      <b/>
      <sz val="18"/>
      <color rgb="FFFF0000"/>
      <name val="Meiryo UI"/>
      <family val="3"/>
      <charset val="128"/>
    </font>
    <font>
      <sz val="14"/>
      <name val="Meiryo UI"/>
      <family val="3"/>
      <charset val="128"/>
    </font>
    <font>
      <sz val="8"/>
      <name val="Meiryo UI"/>
      <family val="3"/>
      <charset val="128"/>
    </font>
    <font>
      <b/>
      <sz val="11"/>
      <color theme="3"/>
      <name val="游ゴシック"/>
      <family val="2"/>
      <charset val="128"/>
      <scheme val="minor"/>
    </font>
    <font>
      <sz val="10"/>
      <name val="Arial"/>
      <family val="2"/>
    </font>
    <font>
      <sz val="14"/>
      <color theme="1"/>
      <name val="Meiryo UI"/>
      <family val="3"/>
      <charset val="128"/>
    </font>
    <font>
      <sz val="6"/>
      <color theme="1"/>
      <name val="Meiryo UI"/>
      <family val="3"/>
      <charset val="128"/>
    </font>
    <font>
      <b/>
      <sz val="10"/>
      <name val="Meiryo UI"/>
      <family val="3"/>
      <charset val="128"/>
    </font>
    <font>
      <b/>
      <sz val="8"/>
      <name val="Meiryo UI"/>
      <family val="3"/>
      <charset val="128"/>
    </font>
    <font>
      <b/>
      <sz val="9"/>
      <color theme="1"/>
      <name val="Meiryo UI"/>
      <family val="3"/>
      <charset val="128"/>
    </font>
    <font>
      <b/>
      <sz val="8"/>
      <color rgb="FF00B050"/>
      <name val="Meiryo UI"/>
      <family val="3"/>
      <charset val="128"/>
    </font>
    <font>
      <b/>
      <u/>
      <sz val="10"/>
      <name val="Meiryo UI"/>
      <family val="3"/>
      <charset val="128"/>
    </font>
    <font>
      <b/>
      <sz val="16"/>
      <color theme="1"/>
      <name val="Meiryo UI"/>
      <family val="3"/>
      <charset val="128"/>
    </font>
    <font>
      <b/>
      <u/>
      <sz val="14"/>
      <color rgb="FFFF0000"/>
      <name val="Meiryo UI"/>
      <family val="3"/>
      <charset val="128"/>
    </font>
    <font>
      <b/>
      <u/>
      <sz val="14"/>
      <color theme="1"/>
      <name val="Meiryo UI"/>
      <family val="3"/>
      <charset val="128"/>
    </font>
    <font>
      <b/>
      <sz val="14"/>
      <color theme="0"/>
      <name val="BIZ UDゴシック"/>
      <family val="3"/>
      <charset val="128"/>
    </font>
    <font>
      <b/>
      <sz val="24"/>
      <color rgb="FFFF0000"/>
      <name val="BIZ UDゴシック"/>
      <family val="3"/>
      <charset val="128"/>
    </font>
    <font>
      <sz val="18"/>
      <color theme="1"/>
      <name val="Meiryo UI"/>
      <family val="3"/>
      <charset val="128"/>
    </font>
    <font>
      <u/>
      <sz val="10"/>
      <color rgb="FF0000FF"/>
      <name val="Meiryo UI"/>
      <family val="3"/>
      <charset val="128"/>
    </font>
    <font>
      <b/>
      <sz val="20"/>
      <color theme="1"/>
      <name val="Meiryo UI"/>
      <family val="3"/>
      <charset val="128"/>
    </font>
    <font>
      <b/>
      <sz val="14"/>
      <color rgb="FF000000"/>
      <name val="Meiryo UI"/>
      <family val="3"/>
      <charset val="128"/>
    </font>
    <font>
      <b/>
      <sz val="11"/>
      <color rgb="FFFF0000"/>
      <name val="Meiryo UI"/>
      <family val="3"/>
      <charset val="128"/>
    </font>
    <font>
      <b/>
      <sz val="16"/>
      <color rgb="FFFF0000"/>
      <name val="Meiryo UI"/>
      <family val="3"/>
      <charset val="128"/>
    </font>
    <font>
      <b/>
      <sz val="30"/>
      <color theme="1"/>
      <name val="Meiryo UI"/>
      <family val="3"/>
      <charset val="128"/>
    </font>
    <font>
      <sz val="30"/>
      <color theme="1"/>
      <name val="Meiryo UI"/>
      <family val="3"/>
      <charset val="128"/>
    </font>
    <font>
      <b/>
      <sz val="18"/>
      <color rgb="FF000000"/>
      <name val="Meiryo UI"/>
      <family val="3"/>
      <charset val="128"/>
    </font>
  </fonts>
  <fills count="39">
    <fill>
      <patternFill patternType="none"/>
    </fill>
    <fill>
      <patternFill patternType="gray125"/>
    </fill>
    <fill>
      <patternFill patternType="solid">
        <fgColor rgb="FFFFFF00"/>
        <bgColor indexed="64"/>
      </patternFill>
    </fill>
    <fill>
      <patternFill patternType="solid">
        <fgColor theme="7" tint="0.59999389629810485"/>
        <bgColor indexed="64"/>
      </patternFill>
    </fill>
    <fill>
      <patternFill patternType="solid">
        <fgColor rgb="FF0070C0"/>
        <bgColor indexed="64"/>
      </patternFill>
    </fill>
    <fill>
      <patternFill patternType="solid">
        <fgColor theme="4" tint="0.39997558519241921"/>
        <bgColor indexed="64"/>
      </patternFill>
    </fill>
    <fill>
      <patternFill patternType="solid">
        <fgColor rgb="FF002060"/>
        <bgColor indexed="64"/>
      </patternFill>
    </fill>
    <fill>
      <patternFill patternType="solid">
        <fgColor theme="4" tint="0.59999389629810485"/>
        <bgColor indexed="64"/>
      </patternFill>
    </fill>
    <fill>
      <patternFill patternType="solid">
        <fgColor rgb="FF7030A0"/>
        <bgColor indexed="64"/>
      </patternFill>
    </fill>
    <fill>
      <patternFill patternType="solid">
        <fgColor theme="1"/>
        <bgColor indexed="64"/>
      </patternFill>
    </fill>
    <fill>
      <patternFill patternType="solid">
        <fgColor rgb="FFFFFFCC"/>
        <bgColor indexed="64"/>
      </patternFill>
    </fill>
    <fill>
      <patternFill patternType="solid">
        <fgColor rgb="FF00B0F0"/>
        <bgColor indexed="64"/>
      </patternFill>
    </fill>
    <fill>
      <patternFill patternType="solid">
        <fgColor rgb="FFFF0000"/>
        <bgColor indexed="64"/>
      </patternFill>
    </fill>
    <fill>
      <patternFill patternType="solid">
        <fgColor rgb="FFFFC000"/>
        <bgColor indexed="64"/>
      </patternFill>
    </fill>
    <fill>
      <patternFill patternType="solid">
        <fgColor rgb="FFFF66FF"/>
        <bgColor indexed="64"/>
      </patternFill>
    </fill>
    <fill>
      <patternFill patternType="solid">
        <fgColor rgb="FF00B050"/>
        <bgColor indexed="64"/>
      </patternFill>
    </fill>
    <fill>
      <patternFill patternType="solid">
        <fgColor rgb="FF66FF99"/>
        <bgColor indexed="64"/>
      </patternFill>
    </fill>
    <fill>
      <patternFill patternType="solid">
        <fgColor theme="9" tint="-0.249977111117893"/>
        <bgColor indexed="64"/>
      </patternFill>
    </fill>
    <fill>
      <patternFill patternType="solid">
        <fgColor theme="2"/>
        <bgColor indexed="64"/>
      </patternFill>
    </fill>
    <fill>
      <patternFill patternType="solid">
        <fgColor theme="4" tint="-0.249977111117893"/>
        <bgColor indexed="64"/>
      </patternFill>
    </fill>
    <fill>
      <patternFill patternType="solid">
        <fgColor rgb="FF99FF99"/>
        <bgColor indexed="64"/>
      </patternFill>
    </fill>
    <fill>
      <patternFill patternType="solid">
        <fgColor rgb="FFCCFFFF"/>
        <bgColor indexed="64"/>
      </patternFill>
    </fill>
    <fill>
      <patternFill patternType="solid">
        <fgColor rgb="FFFFCCFF"/>
        <bgColor indexed="64"/>
      </patternFill>
    </fill>
    <fill>
      <patternFill patternType="solid">
        <fgColor rgb="FFFF99FF"/>
        <bgColor indexed="64"/>
      </patternFill>
    </fill>
    <fill>
      <patternFill patternType="solid">
        <fgColor rgb="FFFFCC99"/>
        <bgColor indexed="64"/>
      </patternFill>
    </fill>
    <fill>
      <patternFill patternType="solid">
        <fgColor theme="0" tint="-0.34998626667073579"/>
        <bgColor indexed="64"/>
      </patternFill>
    </fill>
    <fill>
      <patternFill patternType="solid">
        <fgColor rgb="FFFFFF99"/>
        <bgColor indexed="64"/>
      </patternFill>
    </fill>
    <fill>
      <patternFill patternType="solid">
        <fgColor theme="0" tint="-0.249977111117893"/>
        <bgColor indexed="64"/>
      </patternFill>
    </fill>
    <fill>
      <patternFill patternType="solid">
        <fgColor theme="7" tint="0.79998168889431442"/>
        <bgColor indexed="64"/>
      </patternFill>
    </fill>
    <fill>
      <patternFill patternType="solid">
        <fgColor theme="0"/>
        <bgColor indexed="64"/>
      </patternFill>
    </fill>
    <fill>
      <patternFill patternType="solid">
        <fgColor indexed="43"/>
        <bgColor indexed="64"/>
      </patternFill>
    </fill>
    <fill>
      <patternFill patternType="solid">
        <fgColor indexed="40"/>
        <bgColor indexed="64"/>
      </patternFill>
    </fill>
    <fill>
      <patternFill patternType="solid">
        <fgColor indexed="13"/>
        <bgColor indexed="64"/>
      </patternFill>
    </fill>
    <fill>
      <patternFill patternType="solid">
        <fgColor theme="6" tint="0.39994506668294322"/>
        <bgColor indexed="64"/>
      </patternFill>
    </fill>
    <fill>
      <patternFill patternType="solid">
        <fgColor theme="8" tint="0.39997558519241921"/>
        <bgColor indexed="64"/>
      </patternFill>
    </fill>
    <fill>
      <patternFill patternType="solid">
        <fgColor theme="4" tint="0.79998168889431442"/>
        <bgColor indexed="64"/>
      </patternFill>
    </fill>
    <fill>
      <patternFill patternType="solid">
        <fgColor rgb="FFFF9933"/>
        <bgColor indexed="64"/>
      </patternFill>
    </fill>
    <fill>
      <patternFill patternType="solid">
        <fgColor rgb="FF0000FF"/>
        <bgColor indexed="64"/>
      </patternFill>
    </fill>
    <fill>
      <patternFill patternType="solid">
        <fgColor theme="2" tint="-9.9978637043366805E-2"/>
        <bgColor indexed="64"/>
      </patternFill>
    </fill>
  </fills>
  <borders count="191">
    <border>
      <left/>
      <right/>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bottom style="thin">
        <color indexed="64"/>
      </bottom>
      <diagonal/>
    </border>
    <border>
      <left style="thin">
        <color auto="1"/>
      </left>
      <right/>
      <top style="thin">
        <color auto="1"/>
      </top>
      <bottom/>
      <diagonal/>
    </border>
    <border>
      <left style="thin">
        <color indexed="64"/>
      </left>
      <right style="thin">
        <color indexed="64"/>
      </right>
      <top style="thin">
        <color indexed="64"/>
      </top>
      <bottom/>
      <diagonal/>
    </border>
    <border>
      <left/>
      <right/>
      <top style="thin">
        <color auto="1"/>
      </top>
      <bottom/>
      <diagonal/>
    </border>
    <border>
      <left style="thin">
        <color auto="1"/>
      </left>
      <right style="thin">
        <color auto="1"/>
      </right>
      <top style="medium">
        <color indexed="64"/>
      </top>
      <bottom style="hair">
        <color auto="1"/>
      </bottom>
      <diagonal/>
    </border>
    <border>
      <left style="thin">
        <color auto="1"/>
      </left>
      <right style="thin">
        <color auto="1"/>
      </right>
      <top style="hair">
        <color indexed="64"/>
      </top>
      <bottom style="medium">
        <color indexed="64"/>
      </bottom>
      <diagonal/>
    </border>
    <border>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hair">
        <color indexed="64"/>
      </top>
      <bottom style="thin">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right/>
      <top style="thin">
        <color indexed="64"/>
      </top>
      <bottom style="hair">
        <color indexed="64"/>
      </bottom>
      <diagonal/>
    </border>
    <border>
      <left/>
      <right/>
      <top/>
      <bottom style="thick">
        <color auto="1"/>
      </bottom>
      <diagonal/>
    </border>
    <border>
      <left style="thin">
        <color indexed="64"/>
      </left>
      <right/>
      <top/>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diagonalDown="1">
      <left style="thin">
        <color auto="1"/>
      </left>
      <right style="thin">
        <color auto="1"/>
      </right>
      <top style="medium">
        <color indexed="64"/>
      </top>
      <bottom style="medium">
        <color indexed="64"/>
      </bottom>
      <diagonal style="thin">
        <color auto="1"/>
      </diagonal>
    </border>
    <border diagonalDown="1">
      <left style="thin">
        <color auto="1"/>
      </left>
      <right style="medium">
        <color indexed="64"/>
      </right>
      <top style="medium">
        <color indexed="64"/>
      </top>
      <bottom style="medium">
        <color indexed="64"/>
      </bottom>
      <diagonal style="thin">
        <color auto="1"/>
      </diagonal>
    </border>
    <border>
      <left style="medium">
        <color indexed="64"/>
      </left>
      <right/>
      <top style="medium">
        <color indexed="64"/>
      </top>
      <bottom/>
      <diagonal/>
    </border>
    <border diagonalDown="1">
      <left style="thin">
        <color auto="1"/>
      </left>
      <right style="thin">
        <color auto="1"/>
      </right>
      <top style="medium">
        <color indexed="64"/>
      </top>
      <bottom style="hair">
        <color auto="1"/>
      </bottom>
      <diagonal style="thin">
        <color auto="1"/>
      </diagonal>
    </border>
    <border diagonalDown="1">
      <left style="thin">
        <color auto="1"/>
      </left>
      <right style="medium">
        <color indexed="64"/>
      </right>
      <top style="medium">
        <color indexed="64"/>
      </top>
      <bottom style="hair">
        <color auto="1"/>
      </bottom>
      <diagonal style="thin">
        <color auto="1"/>
      </diagonal>
    </border>
    <border>
      <left style="thin">
        <color indexed="64"/>
      </left>
      <right style="thin">
        <color indexed="64"/>
      </right>
      <top style="hair">
        <color indexed="64"/>
      </top>
      <bottom style="hair">
        <color indexed="64"/>
      </bottom>
      <diagonal/>
    </border>
    <border diagonalDown="1">
      <left style="thin">
        <color auto="1"/>
      </left>
      <right style="thin">
        <color auto="1"/>
      </right>
      <top style="hair">
        <color auto="1"/>
      </top>
      <bottom style="hair">
        <color auto="1"/>
      </bottom>
      <diagonal style="thin">
        <color auto="1"/>
      </diagonal>
    </border>
    <border diagonalDown="1">
      <left style="thin">
        <color auto="1"/>
      </left>
      <right style="medium">
        <color indexed="64"/>
      </right>
      <top style="hair">
        <color auto="1"/>
      </top>
      <bottom style="hair">
        <color auto="1"/>
      </bottom>
      <diagonal style="thin">
        <color auto="1"/>
      </diagonal>
    </border>
    <border diagonalDown="1">
      <left style="thin">
        <color auto="1"/>
      </left>
      <right style="thin">
        <color auto="1"/>
      </right>
      <top style="hair">
        <color auto="1"/>
      </top>
      <bottom style="thin">
        <color auto="1"/>
      </bottom>
      <diagonal style="thin">
        <color auto="1"/>
      </diagonal>
    </border>
    <border diagonalDown="1">
      <left style="thin">
        <color auto="1"/>
      </left>
      <right style="medium">
        <color indexed="64"/>
      </right>
      <top style="hair">
        <color auto="1"/>
      </top>
      <bottom style="thin">
        <color indexed="64"/>
      </bottom>
      <diagonal style="thin">
        <color auto="1"/>
      </diagonal>
    </border>
    <border>
      <left style="medium">
        <color indexed="64"/>
      </left>
      <right/>
      <top/>
      <bottom style="medium">
        <color indexed="64"/>
      </bottom>
      <diagonal/>
    </border>
    <border>
      <left/>
      <right/>
      <top/>
      <bottom style="medium">
        <color indexed="64"/>
      </bottom>
      <diagonal/>
    </border>
    <border diagonalDown="1">
      <left style="thin">
        <color auto="1"/>
      </left>
      <right style="thin">
        <color auto="1"/>
      </right>
      <top style="thin">
        <color auto="1"/>
      </top>
      <bottom style="medium">
        <color indexed="64"/>
      </bottom>
      <diagonal style="thin">
        <color auto="1"/>
      </diagonal>
    </border>
    <border diagonalDown="1">
      <left style="thin">
        <color auto="1"/>
      </left>
      <right style="medium">
        <color indexed="64"/>
      </right>
      <top style="thin">
        <color auto="1"/>
      </top>
      <bottom style="medium">
        <color indexed="64"/>
      </bottom>
      <diagonal style="thin">
        <color auto="1"/>
      </diagonal>
    </border>
    <border diagonalDown="1">
      <left style="thin">
        <color auto="1"/>
      </left>
      <right style="thin">
        <color auto="1"/>
      </right>
      <top style="medium">
        <color indexed="64"/>
      </top>
      <bottom/>
      <diagonal style="thin">
        <color auto="1"/>
      </diagonal>
    </border>
    <border>
      <left style="thin">
        <color indexed="64"/>
      </left>
      <right/>
      <top style="medium">
        <color indexed="64"/>
      </top>
      <bottom style="medium">
        <color indexed="64"/>
      </bottom>
      <diagonal/>
    </border>
    <border>
      <left style="medium">
        <color rgb="FFFF0000"/>
      </left>
      <right style="medium">
        <color rgb="FFFF0000"/>
      </right>
      <top style="medium">
        <color rgb="FFFF0000"/>
      </top>
      <bottom style="medium">
        <color rgb="FFFF0000"/>
      </bottom>
      <diagonal/>
    </border>
    <border>
      <left/>
      <right style="medium">
        <color auto="1"/>
      </right>
      <top style="medium">
        <color auto="1"/>
      </top>
      <bottom style="medium">
        <color auto="1"/>
      </bottom>
      <diagonal/>
    </border>
    <border>
      <left style="thin">
        <color auto="1"/>
      </left>
      <right style="thin">
        <color auto="1"/>
      </right>
      <top/>
      <bottom style="hair">
        <color auto="1"/>
      </bottom>
      <diagonal/>
    </border>
    <border diagonalDown="1">
      <left style="thin">
        <color auto="1"/>
      </left>
      <right style="thin">
        <color auto="1"/>
      </right>
      <top/>
      <bottom style="hair">
        <color auto="1"/>
      </bottom>
      <diagonal style="thin">
        <color auto="1"/>
      </diagonal>
    </border>
    <border diagonalDown="1">
      <left style="thin">
        <color auto="1"/>
      </left>
      <right style="medium">
        <color indexed="64"/>
      </right>
      <top/>
      <bottom style="medium">
        <color indexed="64"/>
      </bottom>
      <diagonal style="thin">
        <color auto="1"/>
      </diagonal>
    </border>
    <border>
      <left style="medium">
        <color indexed="64"/>
      </left>
      <right style="thin">
        <color auto="1"/>
      </right>
      <top style="medium">
        <color indexed="64"/>
      </top>
      <bottom/>
      <diagonal/>
    </border>
    <border>
      <left style="thin">
        <color indexed="64"/>
      </left>
      <right/>
      <top style="medium">
        <color indexed="64"/>
      </top>
      <bottom style="hair">
        <color indexed="64"/>
      </bottom>
      <diagonal/>
    </border>
    <border>
      <left/>
      <right/>
      <top style="medium">
        <color indexed="64"/>
      </top>
      <bottom style="hair">
        <color indexed="64"/>
      </bottom>
      <diagonal/>
    </border>
    <border>
      <left/>
      <right style="thin">
        <color indexed="64"/>
      </right>
      <top style="medium">
        <color indexed="64"/>
      </top>
      <bottom style="hair">
        <color indexed="64"/>
      </bottom>
      <diagonal/>
    </border>
    <border>
      <left style="medium">
        <color indexed="64"/>
      </left>
      <right style="thin">
        <color auto="1"/>
      </right>
      <top/>
      <bottom/>
      <diagonal/>
    </border>
    <border>
      <left style="thin">
        <color indexed="64"/>
      </left>
      <right/>
      <top style="hair">
        <color indexed="64"/>
      </top>
      <bottom style="hair">
        <color indexed="64"/>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indexed="64"/>
      </left>
      <right/>
      <top style="hair">
        <color indexed="64"/>
      </top>
      <bottom/>
      <diagonal/>
    </border>
    <border>
      <left/>
      <right/>
      <top style="hair">
        <color auto="1"/>
      </top>
      <bottom/>
      <diagonal/>
    </border>
    <border>
      <left/>
      <right style="thin">
        <color indexed="64"/>
      </right>
      <top style="hair">
        <color indexed="64"/>
      </top>
      <bottom/>
      <diagonal/>
    </border>
    <border>
      <left style="thin">
        <color auto="1"/>
      </left>
      <right style="thin">
        <color auto="1"/>
      </right>
      <top style="hair">
        <color auto="1"/>
      </top>
      <bottom/>
      <diagonal/>
    </border>
    <border diagonalDown="1">
      <left style="thin">
        <color auto="1"/>
      </left>
      <right style="medium">
        <color indexed="64"/>
      </right>
      <top style="hair">
        <color auto="1"/>
      </top>
      <bottom/>
      <diagonal style="thin">
        <color auto="1"/>
      </diagonal>
    </border>
    <border>
      <left style="medium">
        <color auto="1"/>
      </left>
      <right/>
      <top style="medium">
        <color auto="1"/>
      </top>
      <bottom style="medium">
        <color auto="1"/>
      </bottom>
      <diagonal/>
    </border>
    <border>
      <left/>
      <right/>
      <top style="medium">
        <color indexed="64"/>
      </top>
      <bottom style="medium">
        <color indexed="64"/>
      </bottom>
      <diagonal/>
    </border>
    <border>
      <left/>
      <right style="thin">
        <color indexed="64"/>
      </right>
      <top style="medium">
        <color indexed="64"/>
      </top>
      <bottom style="medium">
        <color indexed="64"/>
      </bottom>
      <diagonal/>
    </border>
    <border diagonalDown="1">
      <left/>
      <right style="thin">
        <color auto="1"/>
      </right>
      <top/>
      <bottom style="thin">
        <color auto="1"/>
      </bottom>
      <diagonal style="thin">
        <color auto="1"/>
      </diagonal>
    </border>
    <border diagonalDown="1">
      <left style="thin">
        <color auto="1"/>
      </left>
      <right style="thin">
        <color auto="1"/>
      </right>
      <top/>
      <bottom style="thin">
        <color auto="1"/>
      </bottom>
      <diagonal style="thin">
        <color auto="1"/>
      </diagonal>
    </border>
    <border diagonalDown="1">
      <left style="thin">
        <color auto="1"/>
      </left>
      <right style="medium">
        <color indexed="64"/>
      </right>
      <top/>
      <bottom style="thin">
        <color auto="1"/>
      </bottom>
      <diagonal style="thin">
        <color auto="1"/>
      </diagonal>
    </border>
    <border>
      <left style="thin">
        <color auto="1"/>
      </left>
      <right style="thin">
        <color auto="1"/>
      </right>
      <top/>
      <bottom/>
      <diagonal/>
    </border>
    <border diagonalDown="1">
      <left style="thin">
        <color auto="1"/>
      </left>
      <right style="medium">
        <color indexed="64"/>
      </right>
      <top/>
      <bottom/>
      <diagonal style="thin">
        <color auto="1"/>
      </diagonal>
    </border>
    <border>
      <left style="double">
        <color indexed="64"/>
      </left>
      <right style="thin">
        <color indexed="64"/>
      </right>
      <top style="double">
        <color indexed="64"/>
      </top>
      <bottom style="double">
        <color indexed="64"/>
      </bottom>
      <diagonal/>
    </border>
    <border>
      <left style="thin">
        <color auto="1"/>
      </left>
      <right style="thin">
        <color auto="1"/>
      </right>
      <top style="double">
        <color indexed="64"/>
      </top>
      <bottom style="double">
        <color indexed="64"/>
      </bottom>
      <diagonal/>
    </border>
    <border>
      <left style="thin">
        <color auto="1"/>
      </left>
      <right style="double">
        <color indexed="64"/>
      </right>
      <top style="double">
        <color indexed="64"/>
      </top>
      <bottom style="double">
        <color indexed="64"/>
      </bottom>
      <diagonal/>
    </border>
    <border>
      <left/>
      <right/>
      <top style="medium">
        <color indexed="64"/>
      </top>
      <bottom/>
      <diagonal/>
    </border>
    <border>
      <left style="medium">
        <color indexed="64"/>
      </left>
      <right style="thin">
        <color auto="1"/>
      </right>
      <top/>
      <bottom style="hair">
        <color auto="1"/>
      </bottom>
      <diagonal/>
    </border>
    <border>
      <left style="thin">
        <color auto="1"/>
      </left>
      <right/>
      <top/>
      <bottom style="hair">
        <color auto="1"/>
      </bottom>
      <diagonal/>
    </border>
    <border>
      <left style="medium">
        <color indexed="64"/>
      </left>
      <right style="thin">
        <color auto="1"/>
      </right>
      <top style="medium">
        <color indexed="64"/>
      </top>
      <bottom style="hair">
        <color auto="1"/>
      </bottom>
      <diagonal/>
    </border>
    <border>
      <left style="thin">
        <color indexed="64"/>
      </left>
      <right style="medium">
        <color indexed="64"/>
      </right>
      <top style="medium">
        <color indexed="64"/>
      </top>
      <bottom style="hair">
        <color indexed="64"/>
      </bottom>
      <diagonal/>
    </border>
    <border>
      <left style="medium">
        <color indexed="64"/>
      </left>
      <right style="thin">
        <color auto="1"/>
      </right>
      <top style="hair">
        <color auto="1"/>
      </top>
      <bottom style="hair">
        <color auto="1"/>
      </bottom>
      <diagonal/>
    </border>
    <border>
      <left style="thin">
        <color indexed="64"/>
      </left>
      <right style="medium">
        <color indexed="64"/>
      </right>
      <top style="hair">
        <color indexed="64"/>
      </top>
      <bottom style="hair">
        <color indexed="64"/>
      </bottom>
      <diagonal/>
    </border>
    <border>
      <left style="medium">
        <color indexed="64"/>
      </left>
      <right style="thin">
        <color indexed="64"/>
      </right>
      <top style="hair">
        <color indexed="64"/>
      </top>
      <bottom/>
      <diagonal/>
    </border>
    <border>
      <left style="medium">
        <color indexed="64"/>
      </left>
      <right style="thin">
        <color indexed="64"/>
      </right>
      <top style="hair">
        <color indexed="64"/>
      </top>
      <bottom style="thin">
        <color indexed="64"/>
      </bottom>
      <diagonal/>
    </border>
    <border>
      <left style="thin">
        <color indexed="64"/>
      </left>
      <right style="medium">
        <color indexed="64"/>
      </right>
      <top style="hair">
        <color indexed="64"/>
      </top>
      <bottom style="thin">
        <color indexed="64"/>
      </bottom>
      <diagonal/>
    </border>
    <border diagonalDown="1">
      <left style="thin">
        <color auto="1"/>
      </left>
      <right/>
      <top style="thin">
        <color indexed="64"/>
      </top>
      <bottom style="medium">
        <color indexed="64"/>
      </bottom>
      <diagonal style="thin">
        <color auto="1"/>
      </diagonal>
    </border>
    <border diagonalDown="1">
      <left style="medium">
        <color indexed="64"/>
      </left>
      <right style="thin">
        <color auto="1"/>
      </right>
      <top style="thin">
        <color indexed="64"/>
      </top>
      <bottom style="medium">
        <color indexed="64"/>
      </bottom>
      <diagonal style="thin">
        <color auto="1"/>
      </diagonal>
    </border>
    <border>
      <left style="double">
        <color indexed="64"/>
      </left>
      <right style="thin">
        <color indexed="64"/>
      </right>
      <top style="double">
        <color indexed="64"/>
      </top>
      <bottom style="thin">
        <color indexed="64"/>
      </bottom>
      <diagonal/>
    </border>
    <border>
      <left style="thin">
        <color indexed="64"/>
      </left>
      <right style="thin">
        <color indexed="64"/>
      </right>
      <top style="double">
        <color indexed="64"/>
      </top>
      <bottom style="thin">
        <color indexed="64"/>
      </bottom>
      <diagonal/>
    </border>
    <border>
      <left style="thin">
        <color indexed="64"/>
      </left>
      <right style="double">
        <color indexed="64"/>
      </right>
      <top style="double">
        <color indexed="64"/>
      </top>
      <bottom style="thin">
        <color indexed="64"/>
      </bottom>
      <diagonal/>
    </border>
    <border>
      <left style="double">
        <color indexed="64"/>
      </left>
      <right style="double">
        <color indexed="64"/>
      </right>
      <top style="double">
        <color indexed="64"/>
      </top>
      <bottom style="double">
        <color indexed="64"/>
      </bottom>
      <diagonal/>
    </border>
    <border>
      <left/>
      <right style="medium">
        <color indexed="64"/>
      </right>
      <top style="medium">
        <color indexed="64"/>
      </top>
      <bottom/>
      <diagonal/>
    </border>
    <border>
      <left style="double">
        <color indexed="64"/>
      </left>
      <right style="thin">
        <color indexed="64"/>
      </right>
      <top style="thin">
        <color indexed="64"/>
      </top>
      <bottom style="thin">
        <color indexed="64"/>
      </bottom>
      <diagonal/>
    </border>
    <border>
      <left style="thin">
        <color indexed="64"/>
      </left>
      <right style="double">
        <color indexed="64"/>
      </right>
      <top style="thin">
        <color indexed="64"/>
      </top>
      <bottom style="thin">
        <color indexed="64"/>
      </bottom>
      <diagonal/>
    </border>
    <border>
      <left/>
      <right style="medium">
        <color indexed="64"/>
      </right>
      <top/>
      <bottom/>
      <diagonal/>
    </border>
    <border>
      <left style="double">
        <color indexed="64"/>
      </left>
      <right style="thin">
        <color indexed="64"/>
      </right>
      <top style="thin">
        <color indexed="64"/>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double">
        <color indexed="64"/>
      </right>
      <top style="thin">
        <color indexed="64"/>
      </top>
      <bottom style="double">
        <color indexed="64"/>
      </bottom>
      <diagonal/>
    </border>
    <border>
      <left/>
      <right style="medium">
        <color indexed="64"/>
      </right>
      <top/>
      <bottom style="medium">
        <color indexed="64"/>
      </bottom>
      <diagonal/>
    </border>
    <border>
      <left style="dashed">
        <color auto="1"/>
      </left>
      <right style="thin">
        <color indexed="64"/>
      </right>
      <top/>
      <bottom style="thin">
        <color indexed="64"/>
      </bottom>
      <diagonal/>
    </border>
    <border>
      <left style="dashed">
        <color auto="1"/>
      </left>
      <right style="dashed">
        <color auto="1"/>
      </right>
      <top/>
      <bottom style="thin">
        <color indexed="64"/>
      </bottom>
      <diagonal/>
    </border>
    <border>
      <left/>
      <right style="dashed">
        <color auto="1"/>
      </right>
      <top/>
      <bottom style="thin">
        <color indexed="64"/>
      </bottom>
      <diagonal/>
    </border>
    <border>
      <left style="thin">
        <color auto="1"/>
      </left>
      <right/>
      <top/>
      <bottom style="thin">
        <color auto="1"/>
      </bottom>
      <diagonal/>
    </border>
    <border>
      <left style="dashed">
        <color auto="1"/>
      </left>
      <right style="thin">
        <color indexed="64"/>
      </right>
      <top/>
      <bottom/>
      <diagonal/>
    </border>
    <border>
      <left style="dashed">
        <color auto="1"/>
      </left>
      <right style="dashed">
        <color auto="1"/>
      </right>
      <top/>
      <bottom/>
      <diagonal/>
    </border>
    <border>
      <left/>
      <right style="dashed">
        <color auto="1"/>
      </right>
      <top/>
      <bottom/>
      <diagonal/>
    </border>
    <border>
      <left style="thin">
        <color indexed="64"/>
      </left>
      <right style="dashed">
        <color auto="1"/>
      </right>
      <top/>
      <bottom style="thin">
        <color indexed="64"/>
      </bottom>
      <diagonal/>
    </border>
    <border>
      <left style="dashed">
        <color auto="1"/>
      </left>
      <right/>
      <top/>
      <bottom/>
      <diagonal/>
    </border>
    <border>
      <left style="thin">
        <color indexed="64"/>
      </left>
      <right style="dashed">
        <color auto="1"/>
      </right>
      <top/>
      <bottom/>
      <diagonal/>
    </border>
    <border>
      <left style="dashed">
        <color auto="1"/>
      </left>
      <right style="thin">
        <color indexed="64"/>
      </right>
      <top style="thin">
        <color indexed="64"/>
      </top>
      <bottom/>
      <diagonal/>
    </border>
    <border>
      <left style="dashed">
        <color auto="1"/>
      </left>
      <right style="dashed">
        <color auto="1"/>
      </right>
      <top style="thin">
        <color indexed="64"/>
      </top>
      <bottom/>
      <diagonal/>
    </border>
    <border>
      <left style="thin">
        <color indexed="64"/>
      </left>
      <right style="dashed">
        <color auto="1"/>
      </right>
      <top style="thin">
        <color indexed="64"/>
      </top>
      <bottom/>
      <diagonal/>
    </border>
    <border>
      <left style="dashed">
        <color auto="1"/>
      </left>
      <right style="thin">
        <color indexed="64"/>
      </right>
      <top style="thin">
        <color indexed="64"/>
      </top>
      <bottom style="thin">
        <color indexed="64"/>
      </bottom>
      <diagonal/>
    </border>
    <border>
      <left style="dashed">
        <color auto="1"/>
      </left>
      <right style="dashed">
        <color auto="1"/>
      </right>
      <top style="thin">
        <color indexed="64"/>
      </top>
      <bottom style="thin">
        <color indexed="64"/>
      </bottom>
      <diagonal/>
    </border>
    <border>
      <left/>
      <right style="thin">
        <color auto="1"/>
      </right>
      <top/>
      <bottom style="thin">
        <color auto="1"/>
      </bottom>
      <diagonal/>
    </border>
    <border>
      <left/>
      <right style="thin">
        <color auto="1"/>
      </right>
      <top/>
      <bottom/>
      <diagonal/>
    </border>
    <border>
      <left style="mediumDashDotDot">
        <color auto="1"/>
      </left>
      <right/>
      <top/>
      <bottom/>
      <diagonal/>
    </border>
    <border>
      <left/>
      <right style="mediumDashDotDot">
        <color auto="1"/>
      </right>
      <top/>
      <bottom/>
      <diagonal/>
    </border>
    <border>
      <left/>
      <right style="mediumDashDotDot">
        <color auto="1"/>
      </right>
      <top style="mediumDashDotDot">
        <color auto="1"/>
      </top>
      <bottom/>
      <diagonal/>
    </border>
    <border>
      <left/>
      <right style="mediumDashDotDot">
        <color auto="1"/>
      </right>
      <top/>
      <bottom style="mediumDashDotDot">
        <color auto="1"/>
      </bottom>
      <diagonal/>
    </border>
    <border>
      <left/>
      <right/>
      <top/>
      <bottom style="mediumDashDotDot">
        <color auto="1"/>
      </bottom>
      <diagonal/>
    </border>
    <border>
      <left style="dashed">
        <color auto="1"/>
      </left>
      <right/>
      <top/>
      <bottom style="thin">
        <color indexed="64"/>
      </bottom>
      <diagonal/>
    </border>
    <border>
      <left/>
      <right/>
      <top style="mediumDashDotDot">
        <color auto="1"/>
      </top>
      <bottom/>
      <diagonal/>
    </border>
    <border>
      <left style="medium">
        <color indexed="64"/>
      </left>
      <right style="medium">
        <color indexed="64"/>
      </right>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DashDotDot">
        <color auto="1"/>
      </left>
      <right/>
      <top style="thin">
        <color indexed="64"/>
      </top>
      <bottom style="thin">
        <color indexed="64"/>
      </bottom>
      <diagonal/>
    </border>
    <border>
      <left style="medium">
        <color indexed="64"/>
      </left>
      <right style="medium">
        <color indexed="64"/>
      </right>
      <top style="dashed">
        <color auto="1"/>
      </top>
      <bottom/>
      <diagonal/>
    </border>
    <border>
      <left style="medium">
        <color auto="1"/>
      </left>
      <right style="medium">
        <color auto="1"/>
      </right>
      <top style="thin">
        <color auto="1"/>
      </top>
      <bottom/>
      <diagonal/>
    </border>
    <border>
      <left style="medium">
        <color indexed="64"/>
      </left>
      <right style="medium">
        <color indexed="64"/>
      </right>
      <top/>
      <bottom/>
      <diagonal/>
    </border>
    <border>
      <left style="medium">
        <color auto="1"/>
      </left>
      <right style="medium">
        <color auto="1"/>
      </right>
      <top style="medium">
        <color auto="1"/>
      </top>
      <bottom style="dashed">
        <color auto="1"/>
      </bottom>
      <diagonal/>
    </border>
    <border>
      <left style="medium">
        <color auto="1"/>
      </left>
      <right style="medium">
        <color auto="1"/>
      </right>
      <top/>
      <bottom style="thin">
        <color indexed="64"/>
      </bottom>
      <diagonal/>
    </border>
    <border>
      <left/>
      <right style="thin">
        <color auto="1"/>
      </right>
      <top style="medium">
        <color auto="1"/>
      </top>
      <bottom/>
      <diagonal/>
    </border>
    <border>
      <left style="medium">
        <color auto="1"/>
      </left>
      <right style="medium">
        <color auto="1"/>
      </right>
      <top style="medium">
        <color auto="1"/>
      </top>
      <bottom/>
      <diagonal/>
    </border>
    <border>
      <left style="thin">
        <color auto="1"/>
      </left>
      <right style="medium">
        <color auto="1"/>
      </right>
      <top/>
      <bottom style="medium">
        <color auto="1"/>
      </bottom>
      <diagonal/>
    </border>
    <border>
      <left/>
      <right style="thin">
        <color auto="1"/>
      </right>
      <top style="thin">
        <color auto="1"/>
      </top>
      <bottom style="medium">
        <color auto="1"/>
      </bottom>
      <diagonal/>
    </border>
    <border>
      <left/>
      <right/>
      <top style="thin">
        <color auto="1"/>
      </top>
      <bottom style="medium">
        <color auto="1"/>
      </bottom>
      <diagonal/>
    </border>
    <border>
      <left style="thin">
        <color auto="1"/>
      </left>
      <right/>
      <top style="thin">
        <color auto="1"/>
      </top>
      <bottom style="medium">
        <color auto="1"/>
      </bottom>
      <diagonal/>
    </border>
    <border>
      <left style="medium">
        <color auto="1"/>
      </left>
      <right/>
      <top style="thin">
        <color auto="1"/>
      </top>
      <bottom style="medium">
        <color auto="1"/>
      </bottom>
      <diagonal/>
    </border>
    <border>
      <left style="dashed">
        <color auto="1"/>
      </left>
      <right style="thin">
        <color indexed="64"/>
      </right>
      <top style="medium">
        <color auto="1"/>
      </top>
      <bottom style="thin">
        <color auto="1"/>
      </bottom>
      <diagonal/>
    </border>
    <border>
      <left style="dashed">
        <color auto="1"/>
      </left>
      <right style="dashed">
        <color auto="1"/>
      </right>
      <top style="medium">
        <color auto="1"/>
      </top>
      <bottom style="thin">
        <color auto="1"/>
      </bottom>
      <diagonal/>
    </border>
    <border>
      <left/>
      <right style="dashed">
        <color auto="1"/>
      </right>
      <top style="medium">
        <color auto="1"/>
      </top>
      <bottom style="thin">
        <color auto="1"/>
      </bottom>
      <diagonal/>
    </border>
    <border>
      <left style="thin">
        <color auto="1"/>
      </left>
      <right/>
      <top style="medium">
        <color auto="1"/>
      </top>
      <bottom style="thin">
        <color auto="1"/>
      </bottom>
      <diagonal/>
    </border>
    <border>
      <left style="thin">
        <color auto="1"/>
      </left>
      <right/>
      <top style="medium">
        <color auto="1"/>
      </top>
      <bottom/>
      <diagonal/>
    </border>
    <border>
      <left style="thin">
        <color auto="1"/>
      </left>
      <right style="thin">
        <color auto="1"/>
      </right>
      <top style="medium">
        <color auto="1"/>
      </top>
      <bottom/>
      <diagonal/>
    </border>
    <border>
      <left style="thin">
        <color auto="1"/>
      </left>
      <right style="medium">
        <color auto="1"/>
      </right>
      <top style="medium">
        <color auto="1"/>
      </top>
      <bottom/>
      <diagonal/>
    </border>
    <border>
      <left style="thin">
        <color auto="1"/>
      </left>
      <right style="thin">
        <color auto="1"/>
      </right>
      <top style="medium">
        <color auto="1"/>
      </top>
      <bottom style="thin">
        <color auto="1"/>
      </bottom>
      <diagonal/>
    </border>
    <border>
      <left/>
      <right/>
      <top style="medium">
        <color auto="1"/>
      </top>
      <bottom style="thin">
        <color auto="1"/>
      </bottom>
      <diagonal/>
    </border>
    <border>
      <left/>
      <right style="thin">
        <color auto="1"/>
      </right>
      <top style="medium">
        <color auto="1"/>
      </top>
      <bottom style="thin">
        <color auto="1"/>
      </bottom>
      <diagonal/>
    </border>
    <border>
      <left style="medium">
        <color auto="1"/>
      </left>
      <right/>
      <top style="medium">
        <color auto="1"/>
      </top>
      <bottom style="thin">
        <color auto="1"/>
      </bottom>
      <diagonal/>
    </border>
    <border>
      <left style="dashed">
        <color auto="1"/>
      </left>
      <right style="thin">
        <color indexed="64"/>
      </right>
      <top style="thin">
        <color indexed="64"/>
      </top>
      <bottom style="medium">
        <color auto="1"/>
      </bottom>
      <diagonal/>
    </border>
    <border>
      <left style="dashed">
        <color auto="1"/>
      </left>
      <right style="dashed">
        <color auto="1"/>
      </right>
      <top style="thin">
        <color indexed="64"/>
      </top>
      <bottom style="medium">
        <color auto="1"/>
      </bottom>
      <diagonal/>
    </border>
    <border>
      <left/>
      <right style="dashed">
        <color auto="1"/>
      </right>
      <top style="thin">
        <color indexed="64"/>
      </top>
      <bottom style="medium">
        <color auto="1"/>
      </bottom>
      <diagonal/>
    </border>
    <border>
      <left/>
      <right style="medium">
        <color auto="1"/>
      </right>
      <top/>
      <bottom style="dashed">
        <color auto="1"/>
      </bottom>
      <diagonal/>
    </border>
    <border>
      <left/>
      <right style="medium">
        <color auto="1"/>
      </right>
      <top style="dashed">
        <color auto="1"/>
      </top>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style="thin">
        <color indexed="64"/>
      </top>
      <bottom style="hair">
        <color indexed="64"/>
      </bottom>
      <diagonal/>
    </border>
    <border>
      <left style="medium">
        <color indexed="64"/>
      </left>
      <right style="thin">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hair">
        <color indexed="64"/>
      </bottom>
      <diagonal/>
    </border>
    <border>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thin">
        <color indexed="64"/>
      </bottom>
      <diagonal/>
    </border>
    <border>
      <left style="double">
        <color indexed="64"/>
      </left>
      <right/>
      <top style="double">
        <color indexed="64"/>
      </top>
      <bottom style="double">
        <color indexed="64"/>
      </bottom>
      <diagonal/>
    </border>
    <border>
      <left/>
      <right/>
      <top style="double">
        <color indexed="64"/>
      </top>
      <bottom style="double">
        <color indexed="64"/>
      </bottom>
      <diagonal/>
    </border>
    <border>
      <left/>
      <right style="thin">
        <color auto="1"/>
      </right>
      <top style="double">
        <color indexed="64"/>
      </top>
      <bottom style="double">
        <color indexed="64"/>
      </bottom>
      <diagonal/>
    </border>
    <border>
      <left style="double">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double">
        <color indexed="64"/>
      </left>
      <right/>
      <top style="double">
        <color indexed="64"/>
      </top>
      <bottom/>
      <diagonal/>
    </border>
    <border>
      <left/>
      <right/>
      <top style="double">
        <color indexed="64"/>
      </top>
      <bottom/>
      <diagonal/>
    </border>
    <border>
      <left/>
      <right style="thin">
        <color indexed="64"/>
      </right>
      <top style="double">
        <color indexed="64"/>
      </top>
      <bottom/>
      <diagonal/>
    </border>
    <border>
      <left style="double">
        <color indexed="64"/>
      </left>
      <right/>
      <top/>
      <bottom style="thin">
        <color indexed="64"/>
      </bottom>
      <diagonal/>
    </border>
    <border>
      <left style="thin">
        <color auto="1"/>
      </left>
      <right/>
      <top style="double">
        <color indexed="64"/>
      </top>
      <bottom style="hair">
        <color auto="1"/>
      </bottom>
      <diagonal/>
    </border>
    <border>
      <left/>
      <right/>
      <top style="double">
        <color indexed="64"/>
      </top>
      <bottom style="hair">
        <color auto="1"/>
      </bottom>
      <diagonal/>
    </border>
    <border>
      <left/>
      <right style="thin">
        <color auto="1"/>
      </right>
      <top style="double">
        <color indexed="64"/>
      </top>
      <bottom style="hair">
        <color auto="1"/>
      </bottom>
      <diagonal/>
    </border>
    <border>
      <left style="medium">
        <color indexed="64"/>
      </left>
      <right style="thin">
        <color indexed="64"/>
      </right>
      <top style="double">
        <color indexed="64"/>
      </top>
      <bottom/>
      <diagonal/>
    </border>
    <border>
      <left style="medium">
        <color indexed="64"/>
      </left>
      <right/>
      <top/>
      <bottom style="double">
        <color indexed="64"/>
      </bottom>
      <diagonal/>
    </border>
    <border>
      <left/>
      <right/>
      <top/>
      <bottom style="double">
        <color indexed="64"/>
      </bottom>
      <diagonal/>
    </border>
    <border>
      <left/>
      <right style="thin">
        <color auto="1"/>
      </right>
      <top/>
      <bottom style="double">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diagonalDown="1">
      <left style="thin">
        <color auto="1"/>
      </left>
      <right style="thin">
        <color auto="1"/>
      </right>
      <top style="hair">
        <color auto="1"/>
      </top>
      <bottom/>
      <diagonal style="thin">
        <color auto="1"/>
      </diagonal>
    </border>
  </borders>
  <cellStyleXfs count="20">
    <xf numFmtId="0" fontId="0" fillId="0" borderId="0">
      <alignment vertical="center"/>
    </xf>
    <xf numFmtId="38" fontId="2" fillId="0" borderId="0" applyFont="0" applyFill="0" applyBorder="0" applyAlignment="0" applyProtection="0">
      <alignment vertical="center"/>
    </xf>
    <xf numFmtId="0" fontId="18" fillId="0" borderId="0" applyNumberFormat="0" applyFill="0" applyBorder="0" applyAlignment="0" applyProtection="0">
      <alignment vertical="center"/>
    </xf>
    <xf numFmtId="176" fontId="2" fillId="0" borderId="0" applyFont="0" applyFill="0" applyBorder="0" applyAlignment="0" applyProtection="0">
      <alignment vertical="center"/>
    </xf>
    <xf numFmtId="9" fontId="2" fillId="0" borderId="0" applyFont="0" applyFill="0" applyBorder="0" applyAlignment="0" applyProtection="0">
      <alignment vertical="center"/>
    </xf>
    <xf numFmtId="176" fontId="40" fillId="0" borderId="0" applyFont="0" applyFill="0" applyBorder="0" applyAlignment="0" applyProtection="0">
      <alignment vertical="center"/>
    </xf>
    <xf numFmtId="0" fontId="40" fillId="0" borderId="0">
      <alignment vertical="center"/>
    </xf>
    <xf numFmtId="9" fontId="40" fillId="0" borderId="0" applyFont="0" applyFill="0" applyBorder="0" applyAlignment="0" applyProtection="0">
      <alignment vertical="center"/>
    </xf>
    <xf numFmtId="38" fontId="40" fillId="0" borderId="0" applyFont="0" applyFill="0" applyBorder="0" applyAlignment="0" applyProtection="0">
      <alignment vertical="center"/>
    </xf>
    <xf numFmtId="0" fontId="61" fillId="0" borderId="0" applyNumberFormat="0" applyFill="0" applyBorder="0" applyAlignment="0" applyProtection="0">
      <alignment vertical="center"/>
    </xf>
    <xf numFmtId="0" fontId="69" fillId="0" borderId="0"/>
    <xf numFmtId="0" fontId="74" fillId="0" borderId="0">
      <alignment vertical="center"/>
    </xf>
    <xf numFmtId="0" fontId="40" fillId="0" borderId="0">
      <alignment vertical="center"/>
    </xf>
    <xf numFmtId="0" fontId="69" fillId="0" borderId="0"/>
    <xf numFmtId="38" fontId="74" fillId="0" borderId="0" applyFont="0" applyFill="0" applyBorder="0" applyAlignment="0" applyProtection="0">
      <alignment vertical="center"/>
    </xf>
    <xf numFmtId="176" fontId="69" fillId="0" borderId="0" applyFont="0" applyFill="0" applyBorder="0" applyAlignment="0" applyProtection="0">
      <alignment vertical="center"/>
    </xf>
    <xf numFmtId="196" fontId="86" fillId="0" borderId="0" applyFill="0" applyBorder="0" applyAlignment="0" applyProtection="0"/>
    <xf numFmtId="0" fontId="7" fillId="0" borderId="0">
      <alignment vertical="center"/>
    </xf>
    <xf numFmtId="38" fontId="7" fillId="0" borderId="0" applyFont="0" applyFill="0" applyBorder="0" applyAlignment="0" applyProtection="0">
      <alignment vertical="center"/>
    </xf>
    <xf numFmtId="38" fontId="40" fillId="0" borderId="0" applyFont="0" applyFill="0" applyBorder="0" applyAlignment="0" applyProtection="0">
      <alignment vertical="center"/>
    </xf>
  </cellStyleXfs>
  <cellXfs count="1001">
    <xf numFmtId="0" fontId="0" fillId="0" borderId="0" xfId="0">
      <alignment vertical="center"/>
    </xf>
    <xf numFmtId="0" fontId="0" fillId="0" borderId="0" xfId="0" applyAlignment="1">
      <alignment horizontal="center" vertical="center"/>
    </xf>
    <xf numFmtId="49" fontId="0" fillId="0" borderId="2" xfId="0" applyNumberFormat="1" applyBorder="1" applyAlignment="1">
      <alignment horizontal="left" vertical="center" wrapText="1"/>
    </xf>
    <xf numFmtId="49" fontId="0" fillId="0" borderId="2" xfId="0" applyNumberFormat="1" applyBorder="1" applyAlignment="1">
      <alignment horizontal="left" vertical="center"/>
    </xf>
    <xf numFmtId="49" fontId="0" fillId="0" borderId="0" xfId="0" applyNumberFormat="1" applyAlignment="1">
      <alignment horizontal="left" vertical="center"/>
    </xf>
    <xf numFmtId="0" fontId="0" fillId="0" borderId="0" xfId="0" applyAlignment="1">
      <alignment horizontal="left" vertical="center"/>
    </xf>
    <xf numFmtId="0" fontId="7" fillId="0" borderId="0" xfId="0" applyFont="1" applyAlignment="1">
      <alignment horizontal="left" vertical="center"/>
    </xf>
    <xf numFmtId="0" fontId="0" fillId="2" borderId="0" xfId="0" applyFill="1" applyAlignment="1">
      <alignment horizontal="left" vertical="center"/>
    </xf>
    <xf numFmtId="49" fontId="0" fillId="2" borderId="0" xfId="0" applyNumberFormat="1" applyFill="1" applyAlignment="1">
      <alignment horizontal="left" vertical="center"/>
    </xf>
    <xf numFmtId="38" fontId="0" fillId="0" borderId="0" xfId="1" applyFont="1" applyAlignment="1">
      <alignment horizontal="left" vertical="center"/>
    </xf>
    <xf numFmtId="38" fontId="0" fillId="0" borderId="2" xfId="1" applyFont="1" applyBorder="1" applyAlignment="1">
      <alignment horizontal="left" vertical="center"/>
    </xf>
    <xf numFmtId="177" fontId="0" fillId="0" borderId="0" xfId="0" applyNumberFormat="1" applyAlignment="1">
      <alignment horizontal="left" vertical="center"/>
    </xf>
    <xf numFmtId="177" fontId="0" fillId="0" borderId="2" xfId="0" applyNumberFormat="1" applyBorder="1" applyAlignment="1">
      <alignment horizontal="left" vertical="center"/>
    </xf>
    <xf numFmtId="0" fontId="0" fillId="0" borderId="2" xfId="0" applyBorder="1" applyAlignment="1">
      <alignment horizontal="left" vertical="center"/>
    </xf>
    <xf numFmtId="0" fontId="7" fillId="2" borderId="0" xfId="0" applyFont="1" applyFill="1" applyAlignment="1">
      <alignment horizontal="left" vertical="center"/>
    </xf>
    <xf numFmtId="0" fontId="0" fillId="2" borderId="2" xfId="0" applyFill="1" applyBorder="1" applyAlignment="1">
      <alignment horizontal="left" vertical="center"/>
    </xf>
    <xf numFmtId="49" fontId="8" fillId="3" borderId="0" xfId="0" applyNumberFormat="1" applyFont="1" applyFill="1" applyAlignment="1">
      <alignment horizontal="left" vertical="center"/>
    </xf>
    <xf numFmtId="49" fontId="9" fillId="0" borderId="2" xfId="0" applyNumberFormat="1" applyFont="1" applyBorder="1" applyAlignment="1">
      <alignment horizontal="left" vertical="center"/>
    </xf>
    <xf numFmtId="49" fontId="10" fillId="0" borderId="0" xfId="0" applyNumberFormat="1" applyFont="1" applyAlignment="1">
      <alignment horizontal="left" vertical="center"/>
    </xf>
    <xf numFmtId="0" fontId="13" fillId="0" borderId="0" xfId="0" applyFont="1" applyAlignment="1">
      <alignment horizontal="center" vertical="center"/>
    </xf>
    <xf numFmtId="14" fontId="0" fillId="0" borderId="0" xfId="0" applyNumberFormat="1">
      <alignment vertical="center"/>
    </xf>
    <xf numFmtId="22" fontId="0" fillId="0" borderId="0" xfId="0" applyNumberFormat="1">
      <alignment vertical="center"/>
    </xf>
    <xf numFmtId="0" fontId="0" fillId="2" borderId="3" xfId="0" applyFill="1" applyBorder="1" applyAlignment="1">
      <alignment horizontal="left" vertical="center"/>
    </xf>
    <xf numFmtId="0" fontId="19" fillId="4" borderId="2" xfId="0" applyFont="1" applyFill="1" applyBorder="1" applyAlignment="1">
      <alignment horizontal="center" vertical="center"/>
    </xf>
    <xf numFmtId="0" fontId="19" fillId="0" borderId="0" xfId="0" applyFont="1" applyAlignment="1">
      <alignment horizontal="center" vertical="center"/>
    </xf>
    <xf numFmtId="0" fontId="20" fillId="0" borderId="0" xfId="0" applyFont="1" applyAlignment="1">
      <alignment horizontal="center" vertical="center" shrinkToFit="1"/>
    </xf>
    <xf numFmtId="0" fontId="20" fillId="0" borderId="2" xfId="0" applyFont="1" applyBorder="1" applyAlignment="1">
      <alignment horizontal="center" vertical="center"/>
    </xf>
    <xf numFmtId="0" fontId="20" fillId="0" borderId="2" xfId="0" applyFont="1" applyBorder="1" applyAlignment="1">
      <alignment horizontal="left" vertical="center"/>
    </xf>
    <xf numFmtId="0" fontId="21" fillId="0" borderId="2" xfId="0" applyFont="1" applyBorder="1" applyAlignment="1">
      <alignment horizontal="center" vertical="center"/>
    </xf>
    <xf numFmtId="0" fontId="20" fillId="0" borderId="0" xfId="0" applyFont="1" applyAlignment="1">
      <alignment horizontal="center" vertical="center"/>
    </xf>
    <xf numFmtId="0" fontId="21" fillId="5" borderId="2" xfId="0" applyFont="1" applyFill="1" applyBorder="1" applyAlignment="1">
      <alignment horizontal="center" vertical="center" shrinkToFit="1"/>
    </xf>
    <xf numFmtId="0" fontId="20" fillId="0" borderId="2" xfId="0" applyFont="1" applyBorder="1" applyAlignment="1">
      <alignment horizontal="center" vertical="center" shrinkToFit="1"/>
    </xf>
    <xf numFmtId="0" fontId="20" fillId="0" borderId="0" xfId="0" applyFont="1" applyAlignment="1">
      <alignment horizontal="left" vertical="center"/>
    </xf>
    <xf numFmtId="0" fontId="21" fillId="0" borderId="0" xfId="0" applyFont="1" applyAlignment="1">
      <alignment horizontal="center" vertical="center"/>
    </xf>
    <xf numFmtId="0" fontId="22" fillId="0" borderId="0" xfId="0" applyFont="1" applyAlignment="1">
      <alignment horizontal="center" vertical="center"/>
    </xf>
    <xf numFmtId="0" fontId="23" fillId="0" borderId="0" xfId="0" applyFont="1" applyAlignment="1">
      <alignment horizontal="center" vertical="center"/>
    </xf>
    <xf numFmtId="0" fontId="24" fillId="0" borderId="0" xfId="0" applyFont="1" applyAlignment="1">
      <alignment horizontal="center" vertical="center" shrinkToFit="1"/>
    </xf>
    <xf numFmtId="0" fontId="16" fillId="0" borderId="2" xfId="2" applyFont="1" applyBorder="1" applyAlignment="1">
      <alignment horizontal="center" vertical="center" shrinkToFit="1"/>
    </xf>
    <xf numFmtId="0" fontId="24" fillId="0" borderId="2" xfId="0" applyFont="1" applyBorder="1" applyAlignment="1">
      <alignment horizontal="center" vertical="center" shrinkToFit="1"/>
    </xf>
    <xf numFmtId="0" fontId="10" fillId="0" borderId="0" xfId="0" applyFont="1" applyAlignment="1">
      <alignment horizontal="center" vertical="center" shrinkToFit="1"/>
    </xf>
    <xf numFmtId="0" fontId="16" fillId="0" borderId="2" xfId="0" applyFont="1" applyBorder="1" applyAlignment="1">
      <alignment horizontal="center" vertical="center" shrinkToFit="1"/>
    </xf>
    <xf numFmtId="0" fontId="0" fillId="0" borderId="0" xfId="0" applyAlignment="1">
      <alignment horizontal="left" vertical="center" shrinkToFit="1"/>
    </xf>
    <xf numFmtId="0" fontId="0" fillId="0" borderId="0" xfId="0" applyAlignment="1">
      <alignment horizontal="center" vertical="center" shrinkToFit="1"/>
    </xf>
    <xf numFmtId="0" fontId="28" fillId="8" borderId="2" xfId="0" applyFont="1" applyFill="1" applyBorder="1" applyAlignment="1">
      <alignment horizontal="center" vertical="center" shrinkToFit="1"/>
    </xf>
    <xf numFmtId="0" fontId="29" fillId="8" borderId="2" xfId="0" applyFont="1" applyFill="1" applyBorder="1" applyAlignment="1">
      <alignment horizontal="center" vertical="center" shrinkToFit="1"/>
    </xf>
    <xf numFmtId="0" fontId="25" fillId="6" borderId="2" xfId="0" applyFont="1" applyFill="1" applyBorder="1" applyAlignment="1">
      <alignment horizontal="left" vertical="center" shrinkToFit="1"/>
    </xf>
    <xf numFmtId="0" fontId="25" fillId="6" borderId="2" xfId="0" applyFont="1" applyFill="1" applyBorder="1" applyAlignment="1">
      <alignment horizontal="center" vertical="center" shrinkToFit="1"/>
    </xf>
    <xf numFmtId="0" fontId="0" fillId="7" borderId="2" xfId="0" applyFill="1" applyBorder="1" applyAlignment="1">
      <alignment horizontal="left" vertical="center" shrinkToFit="1"/>
    </xf>
    <xf numFmtId="0" fontId="0" fillId="7" borderId="2" xfId="0" applyFill="1" applyBorder="1" applyAlignment="1">
      <alignment horizontal="center" vertical="center" shrinkToFit="1"/>
    </xf>
    <xf numFmtId="0" fontId="0" fillId="0" borderId="2" xfId="0" applyBorder="1" applyAlignment="1">
      <alignment horizontal="left" vertical="center" shrinkToFit="1"/>
    </xf>
    <xf numFmtId="0" fontId="0" fillId="0" borderId="2" xfId="0" applyBorder="1" applyAlignment="1">
      <alignment horizontal="center" vertical="center" shrinkToFit="1"/>
    </xf>
    <xf numFmtId="0" fontId="12" fillId="0" borderId="0" xfId="0" applyFont="1" applyAlignment="1">
      <alignment horizontal="center" vertical="center" shrinkToFit="1"/>
    </xf>
    <xf numFmtId="0" fontId="27" fillId="6" borderId="2" xfId="0" applyFont="1" applyFill="1" applyBorder="1" applyAlignment="1">
      <alignment horizontal="center" vertical="center" shrinkToFit="1"/>
    </xf>
    <xf numFmtId="0" fontId="12" fillId="7" borderId="2" xfId="0" applyFont="1" applyFill="1" applyBorder="1" applyAlignment="1">
      <alignment horizontal="center" vertical="center" shrinkToFit="1"/>
    </xf>
    <xf numFmtId="0" fontId="12" fillId="0" borderId="2" xfId="0" applyFont="1" applyBorder="1" applyAlignment="1">
      <alignment horizontal="center" vertical="center" shrinkToFit="1"/>
    </xf>
    <xf numFmtId="182" fontId="25" fillId="6" borderId="2" xfId="1" applyNumberFormat="1" applyFont="1" applyFill="1" applyBorder="1" applyAlignment="1">
      <alignment horizontal="center" vertical="center" shrinkToFit="1"/>
    </xf>
    <xf numFmtId="182" fontId="0" fillId="7" borderId="2" xfId="1" applyNumberFormat="1" applyFont="1" applyFill="1" applyBorder="1" applyAlignment="1">
      <alignment horizontal="center" vertical="center" shrinkToFit="1"/>
    </xf>
    <xf numFmtId="182" fontId="0" fillId="0" borderId="2" xfId="1" applyNumberFormat="1" applyFont="1" applyBorder="1" applyAlignment="1">
      <alignment horizontal="center" vertical="center" shrinkToFit="1"/>
    </xf>
    <xf numFmtId="182" fontId="26" fillId="6" borderId="2" xfId="1" applyNumberFormat="1" applyFont="1" applyFill="1" applyBorder="1" applyAlignment="1">
      <alignment horizontal="center" vertical="center" shrinkToFit="1"/>
    </xf>
    <xf numFmtId="0" fontId="26" fillId="6" borderId="2" xfId="0" applyFont="1" applyFill="1" applyBorder="1" applyAlignment="1">
      <alignment horizontal="center" vertical="center" shrinkToFit="1"/>
    </xf>
    <xf numFmtId="0" fontId="0" fillId="6" borderId="0" xfId="0" applyFill="1" applyAlignment="1">
      <alignment horizontal="left" vertical="center" shrinkToFit="1"/>
    </xf>
    <xf numFmtId="0" fontId="30" fillId="0" borderId="0" xfId="0" applyFont="1" applyAlignment="1">
      <alignment horizontal="left" vertical="center" shrinkToFit="1"/>
    </xf>
    <xf numFmtId="0" fontId="31" fillId="0" borderId="0" xfId="0" applyFont="1" applyAlignment="1">
      <alignment horizontal="center" vertical="center" shrinkToFit="1"/>
    </xf>
    <xf numFmtId="0" fontId="32" fillId="0" borderId="2" xfId="0" applyFont="1" applyBorder="1" applyAlignment="1">
      <alignment horizontal="center" vertical="center" shrinkToFit="1"/>
    </xf>
    <xf numFmtId="0" fontId="11" fillId="0" borderId="0" xfId="0" applyFont="1" applyAlignment="1"/>
    <xf numFmtId="0" fontId="11" fillId="0" borderId="0" xfId="1" applyNumberFormat="1" applyFont="1" applyAlignment="1">
      <alignment horizontal="right" vertical="center"/>
    </xf>
    <xf numFmtId="0" fontId="11" fillId="0" borderId="0" xfId="1" applyNumberFormat="1" applyFont="1">
      <alignment vertical="center"/>
    </xf>
    <xf numFmtId="0" fontId="23" fillId="0" borderId="0" xfId="1" applyNumberFormat="1" applyFont="1">
      <alignment vertical="center"/>
    </xf>
    <xf numFmtId="0" fontId="11" fillId="0" borderId="0" xfId="1" applyNumberFormat="1" applyFont="1" applyAlignment="1">
      <alignment horizontal="left" vertical="center"/>
    </xf>
    <xf numFmtId="0" fontId="13" fillId="0" borderId="0" xfId="0" applyFont="1" applyAlignment="1">
      <alignment horizontal="right" vertical="center"/>
    </xf>
    <xf numFmtId="0" fontId="34" fillId="0" borderId="0" xfId="1" applyNumberFormat="1" applyFont="1" applyAlignment="1">
      <alignment horizontal="left"/>
    </xf>
    <xf numFmtId="14" fontId="13" fillId="0" borderId="0" xfId="0" applyNumberFormat="1" applyFont="1" applyAlignment="1">
      <alignment horizontal="center" vertical="center"/>
    </xf>
    <xf numFmtId="0" fontId="13" fillId="0" borderId="0" xfId="0" applyFont="1">
      <alignment vertical="center"/>
    </xf>
    <xf numFmtId="0" fontId="23" fillId="0" borderId="0" xfId="0" applyFont="1">
      <alignment vertical="center"/>
    </xf>
    <xf numFmtId="180" fontId="13" fillId="0" borderId="0" xfId="0" applyNumberFormat="1" applyFont="1" applyAlignment="1">
      <alignment horizontal="left" vertical="center"/>
    </xf>
    <xf numFmtId="180" fontId="13" fillId="0" borderId="0" xfId="0" applyNumberFormat="1" applyFont="1" applyAlignment="1">
      <alignment horizontal="left" vertical="center" shrinkToFit="1"/>
    </xf>
    <xf numFmtId="180" fontId="13" fillId="0" borderId="0" xfId="0" applyNumberFormat="1" applyFont="1" applyAlignment="1">
      <alignment horizontal="center" vertical="center"/>
    </xf>
    <xf numFmtId="179" fontId="13" fillId="0" borderId="0" xfId="0" applyNumberFormat="1" applyFont="1" applyAlignment="1">
      <alignment horizontal="center" vertical="center"/>
    </xf>
    <xf numFmtId="181" fontId="13" fillId="0" borderId="0" xfId="0" applyNumberFormat="1" applyFont="1" applyAlignment="1">
      <alignment horizontal="center" vertical="center"/>
    </xf>
    <xf numFmtId="0" fontId="34" fillId="0" borderId="0" xfId="0" applyFont="1" applyAlignment="1">
      <alignment vertical="top" wrapText="1"/>
    </xf>
    <xf numFmtId="0" fontId="11" fillId="0" borderId="0" xfId="0" applyFont="1" applyAlignment="1">
      <alignment vertical="top"/>
    </xf>
    <xf numFmtId="0" fontId="13" fillId="0" borderId="0" xfId="0" applyFont="1" applyAlignment="1">
      <alignment horizontal="left" vertical="center"/>
    </xf>
    <xf numFmtId="0" fontId="20" fillId="2" borderId="1" xfId="0" applyFont="1" applyFill="1" applyBorder="1" applyAlignment="1">
      <alignment horizontal="center" vertical="center" shrinkToFit="1"/>
    </xf>
    <xf numFmtId="178" fontId="20" fillId="2" borderId="1" xfId="0" applyNumberFormat="1" applyFont="1" applyFill="1" applyBorder="1" applyAlignment="1">
      <alignment horizontal="center" vertical="center" wrapText="1"/>
    </xf>
    <xf numFmtId="180" fontId="35" fillId="0" borderId="0" xfId="0" applyNumberFormat="1" applyFont="1" applyAlignment="1">
      <alignment horizontal="center" vertical="center"/>
    </xf>
    <xf numFmtId="0" fontId="35" fillId="0" borderId="0" xfId="0" applyFont="1" applyAlignment="1">
      <alignment horizontal="left" vertical="center"/>
    </xf>
    <xf numFmtId="0" fontId="36" fillId="0" borderId="0" xfId="0" applyFont="1" applyAlignment="1">
      <alignment horizontal="right" vertical="center"/>
    </xf>
    <xf numFmtId="0" fontId="33" fillId="0" borderId="0" xfId="0" applyFont="1" applyAlignment="1">
      <alignment horizontal="right" vertical="center"/>
    </xf>
    <xf numFmtId="180" fontId="19" fillId="9" borderId="0" xfId="0" applyNumberFormat="1" applyFont="1" applyFill="1" applyAlignment="1">
      <alignment horizontal="center" vertical="center" shrinkToFit="1"/>
    </xf>
    <xf numFmtId="0" fontId="24" fillId="0" borderId="0" xfId="0" applyFont="1" applyAlignment="1">
      <alignment horizontal="left" vertical="center" shrinkToFit="1"/>
    </xf>
    <xf numFmtId="180" fontId="24" fillId="0" borderId="0" xfId="0" applyNumberFormat="1" applyFont="1" applyAlignment="1">
      <alignment horizontal="left" vertical="center" shrinkToFit="1"/>
    </xf>
    <xf numFmtId="0" fontId="41" fillId="0" borderId="0" xfId="0" applyFont="1" applyAlignment="1">
      <alignment horizontal="left" vertical="center" shrinkToFit="1"/>
    </xf>
    <xf numFmtId="0" fontId="41" fillId="0" borderId="0" xfId="0" applyFont="1" applyAlignment="1">
      <alignment horizontal="center" vertical="center" shrinkToFit="1"/>
    </xf>
    <xf numFmtId="40" fontId="0" fillId="0" borderId="2" xfId="1" applyNumberFormat="1" applyFont="1" applyBorder="1" applyAlignment="1">
      <alignment horizontal="left" vertical="center"/>
    </xf>
    <xf numFmtId="49" fontId="0" fillId="2" borderId="2" xfId="0" applyNumberFormat="1" applyFill="1" applyBorder="1" applyAlignment="1">
      <alignment horizontal="left" vertical="center"/>
    </xf>
    <xf numFmtId="49" fontId="0" fillId="2" borderId="2" xfId="0" applyNumberFormat="1" applyFill="1" applyBorder="1" applyAlignment="1">
      <alignment horizontal="left" vertical="center" wrapText="1"/>
    </xf>
    <xf numFmtId="0" fontId="24" fillId="17" borderId="0" xfId="0" applyFont="1" applyFill="1" applyAlignment="1">
      <alignment horizontal="left" vertical="center" shrinkToFit="1"/>
    </xf>
    <xf numFmtId="0" fontId="36" fillId="0" borderId="0" xfId="0" applyFont="1" applyAlignment="1">
      <alignment horizontal="left" vertical="center"/>
    </xf>
    <xf numFmtId="0" fontId="36" fillId="0" borderId="2" xfId="0" applyFont="1" applyBorder="1" applyAlignment="1">
      <alignment horizontal="left" vertical="center"/>
    </xf>
    <xf numFmtId="0" fontId="36" fillId="0" borderId="2" xfId="1" applyNumberFormat="1" applyFont="1" applyBorder="1" applyAlignment="1">
      <alignment horizontal="left" vertical="center"/>
    </xf>
    <xf numFmtId="14" fontId="0" fillId="0" borderId="2" xfId="0" applyNumberFormat="1" applyBorder="1" applyAlignment="1">
      <alignment horizontal="left" vertical="center"/>
    </xf>
    <xf numFmtId="0" fontId="20" fillId="16" borderId="2" xfId="0" applyFont="1" applyFill="1" applyBorder="1" applyAlignment="1">
      <alignment horizontal="center" vertical="center"/>
    </xf>
    <xf numFmtId="40" fontId="46" fillId="0" borderId="0" xfId="8" applyNumberFormat="1" applyFont="1" applyBorder="1" applyAlignment="1" applyProtection="1">
      <alignment horizontal="center" vertical="center" shrinkToFit="1"/>
    </xf>
    <xf numFmtId="0" fontId="46" fillId="0" borderId="0" xfId="7" applyNumberFormat="1" applyFont="1" applyAlignment="1" applyProtection="1">
      <alignment horizontal="center" vertical="center" shrinkToFit="1"/>
    </xf>
    <xf numFmtId="0" fontId="51" fillId="0" borderId="0" xfId="7" applyNumberFormat="1" applyFont="1" applyAlignment="1" applyProtection="1">
      <alignment horizontal="center" vertical="center" shrinkToFit="1"/>
    </xf>
    <xf numFmtId="0" fontId="56" fillId="19" borderId="27" xfId="7" applyNumberFormat="1" applyFont="1" applyFill="1" applyBorder="1" applyAlignment="1" applyProtection="1">
      <alignment horizontal="center" vertical="center" shrinkToFit="1"/>
    </xf>
    <xf numFmtId="191" fontId="58" fillId="2" borderId="30" xfId="8" applyNumberFormat="1" applyFont="1" applyFill="1" applyBorder="1" applyAlignment="1" applyProtection="1">
      <alignment vertical="center" shrinkToFit="1"/>
    </xf>
    <xf numFmtId="191" fontId="58" fillId="2" borderId="31" xfId="8" applyNumberFormat="1" applyFont="1" applyFill="1" applyBorder="1" applyAlignment="1" applyProtection="1">
      <alignment vertical="center" shrinkToFit="1"/>
    </xf>
    <xf numFmtId="10" fontId="58" fillId="2" borderId="32" xfId="7" applyNumberFormat="1" applyFont="1" applyFill="1" applyBorder="1" applyAlignment="1" applyProtection="1">
      <alignment horizontal="center" vertical="center" shrinkToFit="1"/>
    </xf>
    <xf numFmtId="191" fontId="46" fillId="0" borderId="34" xfId="8" applyNumberFormat="1" applyFont="1" applyBorder="1" applyAlignment="1" applyProtection="1">
      <alignment vertical="center" shrinkToFit="1"/>
    </xf>
    <xf numFmtId="10" fontId="46" fillId="0" borderId="35" xfId="7" applyNumberFormat="1" applyFont="1" applyBorder="1" applyAlignment="1" applyProtection="1">
      <alignment horizontal="center" vertical="center" shrinkToFit="1"/>
    </xf>
    <xf numFmtId="38" fontId="60" fillId="0" borderId="0" xfId="8" applyFont="1" applyAlignment="1" applyProtection="1">
      <alignment horizontal="left" shrinkToFit="1"/>
    </xf>
    <xf numFmtId="191" fontId="46" fillId="0" borderId="37" xfId="8" applyNumberFormat="1" applyFont="1" applyBorder="1" applyAlignment="1" applyProtection="1">
      <alignment vertical="center" shrinkToFit="1"/>
    </xf>
    <xf numFmtId="10" fontId="46" fillId="0" borderId="38" xfId="7" applyNumberFormat="1" applyFont="1" applyBorder="1" applyAlignment="1" applyProtection="1">
      <alignment horizontal="center" vertical="center" shrinkToFit="1"/>
    </xf>
    <xf numFmtId="191" fontId="46" fillId="0" borderId="39" xfId="8" applyNumberFormat="1" applyFont="1" applyBorder="1" applyAlignment="1" applyProtection="1">
      <alignment vertical="center" shrinkToFit="1"/>
    </xf>
    <xf numFmtId="10" fontId="46" fillId="0" borderId="40" xfId="7" applyNumberFormat="1" applyFont="1" applyBorder="1" applyAlignment="1" applyProtection="1">
      <alignment horizontal="center" vertical="center" shrinkToFit="1"/>
    </xf>
    <xf numFmtId="191" fontId="46" fillId="21" borderId="7" xfId="8" applyNumberFormat="1" applyFont="1" applyFill="1" applyBorder="1" applyAlignment="1" applyProtection="1">
      <alignment vertical="center" shrinkToFit="1"/>
    </xf>
    <xf numFmtId="191" fontId="46" fillId="21" borderId="43" xfId="8" applyNumberFormat="1" applyFont="1" applyFill="1" applyBorder="1" applyAlignment="1" applyProtection="1">
      <alignment vertical="center" shrinkToFit="1"/>
    </xf>
    <xf numFmtId="10" fontId="46" fillId="21" borderId="44" xfId="7" applyNumberFormat="1" applyFont="1" applyFill="1" applyBorder="1" applyAlignment="1" applyProtection="1">
      <alignment horizontal="center" vertical="center" shrinkToFit="1"/>
    </xf>
    <xf numFmtId="10" fontId="46" fillId="0" borderId="0" xfId="7" applyNumberFormat="1" applyFont="1" applyAlignment="1" applyProtection="1">
      <alignment horizontal="center" vertical="center" shrinkToFit="1"/>
    </xf>
    <xf numFmtId="191" fontId="46" fillId="22" borderId="26" xfId="8" applyNumberFormat="1" applyFont="1" applyFill="1" applyBorder="1" applyAlignment="1" applyProtection="1">
      <alignment vertical="center" shrinkToFit="1"/>
    </xf>
    <xf numFmtId="191" fontId="46" fillId="22" borderId="31" xfId="8" applyNumberFormat="1" applyFont="1" applyFill="1" applyBorder="1" applyAlignment="1" applyProtection="1">
      <alignment vertical="center" shrinkToFit="1"/>
    </xf>
    <xf numFmtId="191" fontId="46" fillId="22" borderId="45" xfId="8" applyNumberFormat="1" applyFont="1" applyFill="1" applyBorder="1" applyAlignment="1" applyProtection="1">
      <alignment vertical="center" shrinkToFit="1"/>
    </xf>
    <xf numFmtId="10" fontId="46" fillId="22" borderId="32" xfId="7" applyNumberFormat="1" applyFont="1" applyFill="1" applyBorder="1" applyAlignment="1" applyProtection="1">
      <alignment horizontal="center" vertical="center" shrinkToFit="1"/>
    </xf>
    <xf numFmtId="191" fontId="46" fillId="7" borderId="26" xfId="8" applyNumberFormat="1" applyFont="1" applyFill="1" applyBorder="1" applyAlignment="1" applyProtection="1">
      <alignment vertical="center" shrinkToFit="1"/>
    </xf>
    <xf numFmtId="191" fontId="46" fillId="7" borderId="46" xfId="8" applyNumberFormat="1" applyFont="1" applyFill="1" applyBorder="1" applyAlignment="1" applyProtection="1">
      <alignment vertical="center" shrinkToFit="1"/>
    </xf>
    <xf numFmtId="191" fontId="46" fillId="7" borderId="47" xfId="8" applyNumberFormat="1" applyFont="1" applyFill="1" applyBorder="1" applyAlignment="1" applyProtection="1">
      <alignment vertical="center" shrinkToFit="1"/>
    </xf>
    <xf numFmtId="10" fontId="59" fillId="0" borderId="0" xfId="7" applyNumberFormat="1" applyFont="1" applyBorder="1" applyAlignment="1" applyProtection="1">
      <alignment vertical="center"/>
    </xf>
    <xf numFmtId="191" fontId="46" fillId="0" borderId="49" xfId="8" applyNumberFormat="1" applyFont="1" applyBorder="1" applyAlignment="1" applyProtection="1">
      <alignment vertical="center" shrinkToFit="1"/>
    </xf>
    <xf numFmtId="10" fontId="46" fillId="0" borderId="50" xfId="7" applyNumberFormat="1" applyFont="1" applyBorder="1" applyAlignment="1" applyProtection="1">
      <alignment horizontal="center" vertical="center" shrinkToFit="1"/>
    </xf>
    <xf numFmtId="191" fontId="46" fillId="0" borderId="36" xfId="8" applyNumberFormat="1" applyFont="1" applyBorder="1" applyAlignment="1" applyProtection="1">
      <alignment vertical="center" shrinkToFit="1"/>
    </xf>
    <xf numFmtId="10" fontId="46" fillId="0" borderId="37" xfId="7" applyNumberFormat="1" applyFont="1" applyBorder="1" applyAlignment="1" applyProtection="1">
      <alignment horizontal="center" vertical="center" shrinkToFit="1"/>
    </xf>
    <xf numFmtId="191" fontId="46" fillId="0" borderId="16" xfId="8" applyNumberFormat="1" applyFont="1" applyBorder="1" applyAlignment="1" applyProtection="1">
      <alignment vertical="center" shrinkToFit="1"/>
    </xf>
    <xf numFmtId="10" fontId="46" fillId="0" borderId="39" xfId="7" applyNumberFormat="1" applyFont="1" applyBorder="1" applyAlignment="1" applyProtection="1">
      <alignment horizontal="center" vertical="center" shrinkToFit="1"/>
    </xf>
    <xf numFmtId="191" fontId="46" fillId="21" borderId="30" xfId="8" applyNumberFormat="1" applyFont="1" applyFill="1" applyBorder="1" applyAlignment="1" applyProtection="1">
      <alignment vertical="center" shrinkToFit="1"/>
    </xf>
    <xf numFmtId="191" fontId="46" fillId="22" borderId="30" xfId="8" applyNumberFormat="1" applyFont="1" applyFill="1" applyBorder="1" applyAlignment="1" applyProtection="1">
      <alignment vertical="center" shrinkToFit="1"/>
    </xf>
    <xf numFmtId="10" fontId="46" fillId="21" borderId="51" xfId="7" applyNumberFormat="1" applyFont="1" applyFill="1" applyBorder="1" applyAlignment="1" applyProtection="1">
      <alignment horizontal="center" vertical="center" shrinkToFit="1"/>
    </xf>
    <xf numFmtId="184" fontId="63" fillId="7" borderId="26" xfId="7" applyNumberFormat="1" applyFont="1" applyFill="1" applyBorder="1" applyAlignment="1" applyProtection="1">
      <alignment horizontal="center" vertical="center" shrinkToFit="1"/>
    </xf>
    <xf numFmtId="184" fontId="46" fillId="7" borderId="27" xfId="7" applyNumberFormat="1" applyFont="1" applyFill="1" applyBorder="1" applyAlignment="1" applyProtection="1">
      <alignment horizontal="center" vertical="center" shrinkToFit="1"/>
    </xf>
    <xf numFmtId="191" fontId="46" fillId="0" borderId="12" xfId="8" applyNumberFormat="1" applyFont="1" applyBorder="1" applyAlignment="1" applyProtection="1">
      <alignment vertical="center" shrinkToFit="1"/>
    </xf>
    <xf numFmtId="191" fontId="46" fillId="0" borderId="63" xfId="8" applyNumberFormat="1" applyFont="1" applyBorder="1" applyAlignment="1" applyProtection="1">
      <alignment vertical="center" shrinkToFit="1"/>
    </xf>
    <xf numFmtId="10" fontId="46" fillId="0" borderId="64" xfId="7" applyNumberFormat="1" applyFont="1" applyBorder="1" applyAlignment="1" applyProtection="1">
      <alignment horizontal="center" vertical="center" shrinkToFit="1"/>
    </xf>
    <xf numFmtId="191" fontId="58" fillId="14" borderId="26" xfId="8" applyNumberFormat="1" applyFont="1" applyFill="1" applyBorder="1" applyAlignment="1" applyProtection="1">
      <alignment horizontal="center" vertical="center" shrinkToFit="1"/>
    </xf>
    <xf numFmtId="191" fontId="46" fillId="0" borderId="26" xfId="8" applyNumberFormat="1" applyFont="1" applyBorder="1" applyAlignment="1" applyProtection="1">
      <alignment vertical="center" shrinkToFit="1"/>
    </xf>
    <xf numFmtId="10" fontId="46" fillId="0" borderId="32" xfId="7" applyNumberFormat="1" applyFont="1" applyBorder="1" applyAlignment="1" applyProtection="1">
      <alignment horizontal="center" vertical="center" shrinkToFit="1"/>
    </xf>
    <xf numFmtId="184" fontId="46" fillId="0" borderId="0" xfId="7" applyNumberFormat="1" applyFont="1" applyAlignment="1" applyProtection="1">
      <alignment horizontal="center" vertical="center" shrinkToFit="1"/>
    </xf>
    <xf numFmtId="191" fontId="46" fillId="0" borderId="68" xfId="8" applyNumberFormat="1" applyFont="1" applyFill="1" applyBorder="1" applyAlignment="1" applyProtection="1">
      <alignment vertical="center" shrinkToFit="1"/>
    </xf>
    <xf numFmtId="191" fontId="46" fillId="0" borderId="69" xfId="8" applyNumberFormat="1" applyFont="1" applyFill="1" applyBorder="1" applyAlignment="1" applyProtection="1">
      <alignment vertical="center" shrinkToFit="1"/>
    </xf>
    <xf numFmtId="191" fontId="46" fillId="0" borderId="8" xfId="8" applyNumberFormat="1" applyFont="1" applyBorder="1" applyAlignment="1" applyProtection="1">
      <alignment vertical="center" shrinkToFit="1"/>
    </xf>
    <xf numFmtId="10" fontId="46" fillId="0" borderId="70" xfId="7" applyNumberFormat="1" applyFont="1" applyBorder="1" applyAlignment="1" applyProtection="1">
      <alignment horizontal="center" vertical="center" shrinkToFit="1"/>
    </xf>
    <xf numFmtId="191" fontId="46" fillId="21" borderId="71" xfId="8" applyNumberFormat="1" applyFont="1" applyFill="1" applyBorder="1" applyAlignment="1" applyProtection="1">
      <alignment vertical="center" shrinkToFit="1"/>
    </xf>
    <xf numFmtId="10" fontId="46" fillId="21" borderId="72" xfId="7" applyNumberFormat="1" applyFont="1" applyFill="1" applyBorder="1" applyAlignment="1" applyProtection="1">
      <alignment horizontal="center" vertical="center" shrinkToFit="1"/>
    </xf>
    <xf numFmtId="184" fontId="68" fillId="24" borderId="75" xfId="7" applyNumberFormat="1" applyFont="1" applyFill="1" applyBorder="1" applyAlignment="1" applyProtection="1">
      <alignment horizontal="center" vertical="center" shrinkToFit="1"/>
    </xf>
    <xf numFmtId="184" fontId="59" fillId="0" borderId="76" xfId="7" applyNumberFormat="1" applyFont="1" applyBorder="1" applyAlignment="1" applyProtection="1">
      <alignment horizontal="center" vertical="center" shrinkToFit="1"/>
    </xf>
    <xf numFmtId="184" fontId="46" fillId="0" borderId="78" xfId="7" applyNumberFormat="1" applyFont="1" applyBorder="1" applyAlignment="1" applyProtection="1">
      <alignment horizontal="center" vertical="center" shrinkToFit="1"/>
    </xf>
    <xf numFmtId="184" fontId="46" fillId="0" borderId="79" xfId="7" applyNumberFormat="1" applyFont="1" applyBorder="1" applyAlignment="1" applyProtection="1">
      <alignment horizontal="center" vertical="center" shrinkToFit="1"/>
    </xf>
    <xf numFmtId="184" fontId="72" fillId="0" borderId="80" xfId="7" applyNumberFormat="1" applyFont="1" applyBorder="1" applyAlignment="1" applyProtection="1">
      <alignment horizontal="center" vertical="center" shrinkToFit="1"/>
    </xf>
    <xf numFmtId="184" fontId="46" fillId="0" borderId="57" xfId="7" applyNumberFormat="1" applyFont="1" applyBorder="1" applyAlignment="1" applyProtection="1">
      <alignment horizontal="center" vertical="center" shrinkToFit="1"/>
    </xf>
    <xf numFmtId="184" fontId="46" fillId="0" borderId="81" xfId="7" applyNumberFormat="1" applyFont="1" applyBorder="1" applyAlignment="1" applyProtection="1">
      <alignment horizontal="center" vertical="center" shrinkToFit="1"/>
    </xf>
    <xf numFmtId="184" fontId="72" fillId="0" borderId="82" xfId="7" applyNumberFormat="1" applyFont="1" applyBorder="1" applyAlignment="1" applyProtection="1">
      <alignment horizontal="center" vertical="center" shrinkToFit="1"/>
    </xf>
    <xf numFmtId="184" fontId="46" fillId="0" borderId="19" xfId="7" applyNumberFormat="1" applyFont="1" applyBorder="1" applyAlignment="1" applyProtection="1">
      <alignment horizontal="center" vertical="center" shrinkToFit="1"/>
    </xf>
    <xf numFmtId="184" fontId="46" fillId="0" borderId="84" xfId="7" applyNumberFormat="1" applyFont="1" applyBorder="1" applyAlignment="1" applyProtection="1">
      <alignment horizontal="center" vertical="center" shrinkToFit="1"/>
    </xf>
    <xf numFmtId="184" fontId="72" fillId="0" borderId="85" xfId="7" applyNumberFormat="1" applyFont="1" applyBorder="1" applyAlignment="1" applyProtection="1">
      <alignment horizontal="center" vertical="center" shrinkToFit="1"/>
    </xf>
    <xf numFmtId="10" fontId="46" fillId="21" borderId="86" xfId="7" applyNumberFormat="1" applyFont="1" applyFill="1" applyBorder="1" applyAlignment="1" applyProtection="1">
      <alignment horizontal="center" vertical="center" shrinkToFit="1"/>
    </xf>
    <xf numFmtId="184" fontId="51" fillId="0" borderId="0" xfId="7" applyNumberFormat="1" applyFont="1" applyAlignment="1" applyProtection="1">
      <alignment horizontal="center" vertical="center" shrinkToFit="1"/>
    </xf>
    <xf numFmtId="191" fontId="46" fillId="10" borderId="2" xfId="8" applyNumberFormat="1" applyFont="1" applyFill="1" applyBorder="1" applyAlignment="1" applyProtection="1">
      <alignment vertical="center" shrinkToFit="1"/>
    </xf>
    <xf numFmtId="184" fontId="68" fillId="0" borderId="75" xfId="7" applyNumberFormat="1" applyFont="1" applyFill="1" applyBorder="1" applyAlignment="1" applyProtection="1">
      <alignment horizontal="center" vertical="center" shrinkToFit="1"/>
    </xf>
    <xf numFmtId="184" fontId="46" fillId="0" borderId="2" xfId="7" applyNumberFormat="1" applyFont="1" applyBorder="1" applyAlignment="1" applyProtection="1">
      <alignment vertical="center" shrinkToFit="1"/>
    </xf>
    <xf numFmtId="0" fontId="36" fillId="0" borderId="0" xfId="11" applyFont="1" applyAlignment="1">
      <alignment horizontal="center" vertical="center"/>
    </xf>
    <xf numFmtId="0" fontId="36" fillId="0" borderId="0" xfId="11" applyFont="1" applyAlignment="1"/>
    <xf numFmtId="0" fontId="75" fillId="0" borderId="0" xfId="11" applyFont="1" applyAlignment="1"/>
    <xf numFmtId="0" fontId="36" fillId="0" borderId="0" xfId="11" applyFont="1" applyAlignment="1">
      <alignment shrinkToFit="1"/>
    </xf>
    <xf numFmtId="0" fontId="36" fillId="0" borderId="0" xfId="11" applyFont="1" applyAlignment="1">
      <alignment horizontal="center" vertical="center" shrinkToFit="1"/>
    </xf>
    <xf numFmtId="0" fontId="13" fillId="0" borderId="0" xfId="11" applyFont="1" applyAlignment="1">
      <alignment horizontal="left" vertical="center"/>
    </xf>
    <xf numFmtId="14" fontId="13" fillId="0" borderId="0" xfId="11" applyNumberFormat="1" applyFont="1" applyAlignment="1">
      <alignment horizontal="left" vertical="center"/>
    </xf>
    <xf numFmtId="0" fontId="76" fillId="0" borderId="0" xfId="11" applyFont="1">
      <alignment vertical="center"/>
    </xf>
    <xf numFmtId="0" fontId="76" fillId="0" borderId="100" xfId="11" applyFont="1" applyBorder="1">
      <alignment vertical="center"/>
    </xf>
    <xf numFmtId="0" fontId="76" fillId="0" borderId="101" xfId="11" applyFont="1" applyBorder="1">
      <alignment vertical="center"/>
    </xf>
    <xf numFmtId="0" fontId="76" fillId="0" borderId="101" xfId="11" applyFont="1" applyBorder="1" applyAlignment="1">
      <alignment horizontal="center" vertical="center"/>
    </xf>
    <xf numFmtId="0" fontId="77" fillId="0" borderId="102" xfId="11" applyFont="1" applyBorder="1">
      <alignment vertical="center"/>
    </xf>
    <xf numFmtId="0" fontId="76" fillId="0" borderId="103" xfId="11" applyFont="1" applyBorder="1">
      <alignment vertical="center"/>
    </xf>
    <xf numFmtId="0" fontId="76" fillId="0" borderId="104" xfId="11" applyFont="1" applyBorder="1">
      <alignment vertical="center"/>
    </xf>
    <xf numFmtId="0" fontId="76" fillId="0" borderId="105" xfId="11" applyFont="1" applyBorder="1">
      <alignment vertical="center"/>
    </xf>
    <xf numFmtId="0" fontId="76" fillId="0" borderId="105" xfId="11" applyFont="1" applyBorder="1" applyAlignment="1">
      <alignment horizontal="center" vertical="center"/>
    </xf>
    <xf numFmtId="0" fontId="77" fillId="0" borderId="106" xfId="11" applyFont="1" applyBorder="1">
      <alignment vertical="center"/>
    </xf>
    <xf numFmtId="0" fontId="76" fillId="0" borderId="24" xfId="11" applyFont="1" applyBorder="1">
      <alignment vertical="center"/>
    </xf>
    <xf numFmtId="0" fontId="76" fillId="26" borderId="101" xfId="11" applyFont="1" applyFill="1" applyBorder="1">
      <alignment vertical="center"/>
    </xf>
    <xf numFmtId="0" fontId="76" fillId="26" borderId="101" xfId="11" applyFont="1" applyFill="1" applyBorder="1" applyAlignment="1">
      <alignment horizontal="center" vertical="center"/>
    </xf>
    <xf numFmtId="0" fontId="76" fillId="26" borderId="107" xfId="11" applyFont="1" applyFill="1" applyBorder="1">
      <alignment vertical="center"/>
    </xf>
    <xf numFmtId="0" fontId="76" fillId="0" borderId="108" xfId="11" applyFont="1" applyBorder="1">
      <alignment vertical="center"/>
    </xf>
    <xf numFmtId="0" fontId="76" fillId="26" borderId="105" xfId="11" applyFont="1" applyFill="1" applyBorder="1">
      <alignment vertical="center"/>
    </xf>
    <xf numFmtId="0" fontId="76" fillId="26" borderId="105" xfId="11" applyFont="1" applyFill="1" applyBorder="1" applyAlignment="1">
      <alignment horizontal="center" vertical="center"/>
    </xf>
    <xf numFmtId="0" fontId="76" fillId="26" borderId="109" xfId="11" applyFont="1" applyFill="1" applyBorder="1">
      <alignment vertical="center"/>
    </xf>
    <xf numFmtId="0" fontId="76" fillId="26" borderId="111" xfId="11" applyFont="1" applyFill="1" applyBorder="1">
      <alignment vertical="center"/>
    </xf>
    <xf numFmtId="0" fontId="76" fillId="26" borderId="111" xfId="11" applyFont="1" applyFill="1" applyBorder="1" applyAlignment="1">
      <alignment horizontal="center" vertical="center"/>
    </xf>
    <xf numFmtId="0" fontId="76" fillId="26" borderId="112" xfId="11" applyFont="1" applyFill="1" applyBorder="1">
      <alignment vertical="center"/>
    </xf>
    <xf numFmtId="0" fontId="13" fillId="26" borderId="101" xfId="11" applyFont="1" applyFill="1" applyBorder="1">
      <alignment vertical="center"/>
    </xf>
    <xf numFmtId="0" fontId="13" fillId="26" borderId="101" xfId="11" applyFont="1" applyFill="1" applyBorder="1" applyAlignment="1">
      <alignment horizontal="center" vertical="center"/>
    </xf>
    <xf numFmtId="0" fontId="13" fillId="26" borderId="107" xfId="11" applyFont="1" applyFill="1" applyBorder="1">
      <alignment vertical="center"/>
    </xf>
    <xf numFmtId="0" fontId="13" fillId="26" borderId="105" xfId="11" applyFont="1" applyFill="1" applyBorder="1">
      <alignment vertical="center"/>
    </xf>
    <xf numFmtId="0" fontId="13" fillId="26" borderId="105" xfId="11" applyFont="1" applyFill="1" applyBorder="1" applyAlignment="1">
      <alignment horizontal="center" vertical="center"/>
    </xf>
    <xf numFmtId="0" fontId="13" fillId="26" borderId="109" xfId="11" applyFont="1" applyFill="1" applyBorder="1">
      <alignment vertical="center"/>
    </xf>
    <xf numFmtId="0" fontId="13" fillId="26" borderId="111" xfId="11" applyFont="1" applyFill="1" applyBorder="1">
      <alignment vertical="center"/>
    </xf>
    <xf numFmtId="0" fontId="13" fillId="26" borderId="111" xfId="11" applyFont="1" applyFill="1" applyBorder="1" applyAlignment="1">
      <alignment horizontal="center" vertical="center"/>
    </xf>
    <xf numFmtId="0" fontId="13" fillId="26" borderId="112" xfId="11" applyFont="1" applyFill="1" applyBorder="1">
      <alignment vertical="center"/>
    </xf>
    <xf numFmtId="0" fontId="76" fillId="0" borderId="100" xfId="11" applyFont="1" applyBorder="1" applyAlignment="1">
      <alignment horizontal="left" vertical="center"/>
    </xf>
    <xf numFmtId="0" fontId="76" fillId="0" borderId="113" xfId="11" applyFont="1" applyBorder="1">
      <alignment vertical="center"/>
    </xf>
    <xf numFmtId="0" fontId="76" fillId="0" borderId="114" xfId="11" applyFont="1" applyBorder="1">
      <alignment vertical="center"/>
    </xf>
    <xf numFmtId="0" fontId="76" fillId="0" borderId="114" xfId="11" applyFont="1" applyBorder="1" applyAlignment="1">
      <alignment horizontal="center" vertical="center"/>
    </xf>
    <xf numFmtId="0" fontId="13" fillId="0" borderId="105" xfId="11" applyFont="1" applyBorder="1" applyAlignment="1">
      <alignment horizontal="center" vertical="center"/>
    </xf>
    <xf numFmtId="0" fontId="76" fillId="0" borderId="111" xfId="11" applyFont="1" applyBorder="1">
      <alignment vertical="center"/>
    </xf>
    <xf numFmtId="0" fontId="76" fillId="27" borderId="113" xfId="11" applyFont="1" applyFill="1" applyBorder="1">
      <alignment vertical="center"/>
    </xf>
    <xf numFmtId="0" fontId="76" fillId="27" borderId="114" xfId="11" applyFont="1" applyFill="1" applyBorder="1">
      <alignment vertical="center"/>
    </xf>
    <xf numFmtId="0" fontId="76" fillId="27" borderId="114" xfId="11" applyFont="1" applyFill="1" applyBorder="1" applyAlignment="1">
      <alignment horizontal="center" vertical="center"/>
    </xf>
    <xf numFmtId="0" fontId="36" fillId="0" borderId="115" xfId="11" applyFont="1" applyBorder="1" applyAlignment="1"/>
    <xf numFmtId="0" fontId="36" fillId="0" borderId="4" xfId="11" applyFont="1" applyBorder="1" applyAlignment="1"/>
    <xf numFmtId="192" fontId="36" fillId="0" borderId="103" xfId="11" applyNumberFormat="1" applyFont="1" applyBorder="1" applyAlignment="1"/>
    <xf numFmtId="0" fontId="36" fillId="0" borderId="116" xfId="11" applyFont="1" applyBorder="1" applyAlignment="1"/>
    <xf numFmtId="192" fontId="36" fillId="0" borderId="24" xfId="11" applyNumberFormat="1" applyFont="1" applyBorder="1" applyAlignment="1"/>
    <xf numFmtId="193" fontId="36" fillId="0" borderId="24" xfId="11" applyNumberFormat="1" applyFont="1" applyBorder="1" applyAlignment="1"/>
    <xf numFmtId="0" fontId="13" fillId="0" borderId="100" xfId="11" applyFont="1" applyBorder="1">
      <alignment vertical="center"/>
    </xf>
    <xf numFmtId="0" fontId="13" fillId="0" borderId="101" xfId="11" applyFont="1" applyBorder="1">
      <alignment vertical="center"/>
    </xf>
    <xf numFmtId="0" fontId="13" fillId="0" borderId="101" xfId="11" applyFont="1" applyBorder="1" applyAlignment="1">
      <alignment horizontal="center" vertical="center"/>
    </xf>
    <xf numFmtId="0" fontId="13" fillId="0" borderId="104" xfId="11" applyFont="1" applyBorder="1">
      <alignment vertical="center"/>
    </xf>
    <xf numFmtId="0" fontId="13" fillId="0" borderId="105" xfId="11" applyFont="1" applyBorder="1">
      <alignment vertical="center"/>
    </xf>
    <xf numFmtId="0" fontId="36" fillId="0" borderId="117" xfId="11" applyFont="1" applyBorder="1" applyAlignment="1"/>
    <xf numFmtId="0" fontId="77" fillId="0" borderId="0" xfId="11" applyFont="1">
      <alignment vertical="center"/>
    </xf>
    <xf numFmtId="0" fontId="77" fillId="0" borderId="4" xfId="11" applyFont="1" applyBorder="1">
      <alignment vertical="center"/>
    </xf>
    <xf numFmtId="0" fontId="36" fillId="0" borderId="0" xfId="11" applyFont="1" applyAlignment="1">
      <alignment horizontal="left" vertical="center" shrinkToFit="1"/>
    </xf>
    <xf numFmtId="0" fontId="36" fillId="0" borderId="118" xfId="11" applyFont="1" applyBorder="1" applyAlignment="1"/>
    <xf numFmtId="0" fontId="9" fillId="2" borderId="101" xfId="11" applyFont="1" applyFill="1" applyBorder="1">
      <alignment vertical="center"/>
    </xf>
    <xf numFmtId="0" fontId="9" fillId="2" borderId="101" xfId="11" applyFont="1" applyFill="1" applyBorder="1" applyAlignment="1">
      <alignment horizontal="center" vertical="center"/>
    </xf>
    <xf numFmtId="0" fontId="36" fillId="0" borderId="14" xfId="11" applyFont="1" applyBorder="1" applyAlignment="1"/>
    <xf numFmtId="193" fontId="36" fillId="0" borderId="9" xfId="11" applyNumberFormat="1" applyFont="1" applyBorder="1" applyAlignment="1"/>
    <xf numFmtId="0" fontId="36" fillId="0" borderId="0" xfId="11" applyFont="1" applyAlignment="1">
      <alignment horizontal="right" shrinkToFit="1"/>
    </xf>
    <xf numFmtId="0" fontId="76" fillId="0" borderId="110" xfId="11" applyFont="1" applyBorder="1">
      <alignment vertical="center"/>
    </xf>
    <xf numFmtId="0" fontId="76" fillId="0" borderId="111" xfId="11" applyFont="1" applyBorder="1" applyAlignment="1">
      <alignment horizontal="center" vertical="center"/>
    </xf>
    <xf numFmtId="193" fontId="36" fillId="0" borderId="0" xfId="11" applyNumberFormat="1" applyFont="1" applyAlignment="1"/>
    <xf numFmtId="14" fontId="36" fillId="0" borderId="0" xfId="11" applyNumberFormat="1" applyFont="1" applyAlignment="1"/>
    <xf numFmtId="0" fontId="36" fillId="0" borderId="0" xfId="11" applyFont="1" applyAlignment="1">
      <alignment horizontal="left" vertical="center"/>
    </xf>
    <xf numFmtId="0" fontId="9" fillId="0" borderId="0" xfId="11" applyFont="1" applyAlignment="1">
      <alignment horizontal="left" vertical="center"/>
    </xf>
    <xf numFmtId="0" fontId="10" fillId="0" borderId="0" xfId="11" applyFont="1" applyAlignment="1">
      <alignment horizontal="left" vertical="center"/>
    </xf>
    <xf numFmtId="0" fontId="13" fillId="0" borderId="0" xfId="12" applyFont="1" applyAlignment="1">
      <alignment horizontal="left" vertical="center"/>
    </xf>
    <xf numFmtId="14" fontId="13" fillId="0" borderId="0" xfId="12" applyNumberFormat="1" applyFont="1" applyAlignment="1">
      <alignment horizontal="left" vertical="center"/>
    </xf>
    <xf numFmtId="0" fontId="13" fillId="0" borderId="0" xfId="12" applyFont="1">
      <alignment vertical="center"/>
    </xf>
    <xf numFmtId="194" fontId="9" fillId="0" borderId="0" xfId="11" applyNumberFormat="1" applyFont="1" applyAlignment="1">
      <alignment horizontal="left" vertical="center" shrinkToFit="1"/>
    </xf>
    <xf numFmtId="0" fontId="36" fillId="2" borderId="2" xfId="11" applyFont="1" applyFill="1" applyBorder="1" applyAlignment="1" applyProtection="1">
      <alignment horizontal="center" vertical="center" shrinkToFit="1"/>
      <protection locked="0"/>
    </xf>
    <xf numFmtId="0" fontId="36" fillId="0" borderId="0" xfId="11" applyFont="1" applyAlignment="1">
      <alignment horizontal="right" vertical="center" shrinkToFit="1"/>
    </xf>
    <xf numFmtId="0" fontId="79" fillId="2" borderId="2" xfId="11" applyFont="1" applyFill="1" applyBorder="1" applyAlignment="1" applyProtection="1">
      <alignment horizontal="center" vertical="center" shrinkToFit="1"/>
      <protection locked="0"/>
    </xf>
    <xf numFmtId="0" fontId="36" fillId="0" borderId="119" xfId="11" applyFont="1" applyBorder="1" applyAlignment="1"/>
    <xf numFmtId="0" fontId="36" fillId="0" borderId="120" xfId="11" applyFont="1" applyBorder="1" applyAlignment="1"/>
    <xf numFmtId="0" fontId="36" fillId="0" borderId="121" xfId="11" applyFont="1" applyBorder="1" applyAlignment="1"/>
    <xf numFmtId="0" fontId="36" fillId="0" borderId="0" xfId="11" applyFont="1" applyAlignment="1">
      <alignment horizontal="left"/>
    </xf>
    <xf numFmtId="49" fontId="9" fillId="0" borderId="0" xfId="11" applyNumberFormat="1" applyFont="1" applyAlignment="1">
      <alignment horizontal="left" vertical="center" shrinkToFit="1"/>
    </xf>
    <xf numFmtId="0" fontId="9" fillId="0" borderId="0" xfId="11" applyFont="1" applyAlignment="1"/>
    <xf numFmtId="0" fontId="36" fillId="2" borderId="8" xfId="11" applyFont="1" applyFill="1" applyBorder="1" applyAlignment="1" applyProtection="1">
      <alignment horizontal="center" vertical="center" shrinkToFit="1"/>
      <protection locked="0"/>
    </xf>
    <xf numFmtId="0" fontId="76" fillId="0" borderId="102" xfId="11" applyFont="1" applyBorder="1">
      <alignment vertical="center"/>
    </xf>
    <xf numFmtId="0" fontId="76" fillId="0" borderId="122" xfId="11" applyFont="1" applyBorder="1">
      <alignment vertical="center"/>
    </xf>
    <xf numFmtId="0" fontId="36" fillId="0" borderId="0" xfId="11" applyFont="1" applyAlignment="1">
      <alignment horizontal="center"/>
    </xf>
    <xf numFmtId="193" fontId="36" fillId="0" borderId="1" xfId="11" applyNumberFormat="1" applyFont="1" applyBorder="1" applyAlignment="1">
      <alignment horizontal="center"/>
    </xf>
    <xf numFmtId="0" fontId="36" fillId="0" borderId="5" xfId="11" applyFont="1" applyBorder="1" applyAlignment="1">
      <alignment horizontal="center"/>
    </xf>
    <xf numFmtId="0" fontId="36" fillId="2" borderId="10" xfId="11" applyFont="1" applyFill="1" applyBorder="1" applyAlignment="1" applyProtection="1">
      <alignment horizontal="center" vertical="center" shrinkToFit="1"/>
      <protection locked="0"/>
    </xf>
    <xf numFmtId="0" fontId="80" fillId="2" borderId="2" xfId="11" applyFont="1" applyFill="1" applyBorder="1" applyAlignment="1" applyProtection="1">
      <alignment horizontal="center" vertical="center" shrinkToFit="1"/>
      <protection locked="0"/>
    </xf>
    <xf numFmtId="0" fontId="76" fillId="27" borderId="104" xfId="11" applyFont="1" applyFill="1" applyBorder="1">
      <alignment vertical="center"/>
    </xf>
    <xf numFmtId="0" fontId="76" fillId="27" borderId="105" xfId="11" applyFont="1" applyFill="1" applyBorder="1">
      <alignment vertical="center"/>
    </xf>
    <xf numFmtId="0" fontId="76" fillId="27" borderId="105" xfId="11" applyFont="1" applyFill="1" applyBorder="1" applyAlignment="1">
      <alignment horizontal="center" vertical="center"/>
    </xf>
    <xf numFmtId="0" fontId="36" fillId="28" borderId="2" xfId="11" applyFont="1" applyFill="1" applyBorder="1" applyAlignment="1">
      <alignment horizontal="center" vertical="center" shrinkToFit="1"/>
    </xf>
    <xf numFmtId="0" fontId="36" fillId="0" borderId="0" xfId="13" applyFont="1" applyAlignment="1">
      <alignment horizontal="center" vertical="center" shrinkToFit="1"/>
    </xf>
    <xf numFmtId="0" fontId="36" fillId="0" borderId="118" xfId="11" applyFont="1" applyBorder="1" applyAlignment="1">
      <alignment horizontal="center" vertical="center"/>
    </xf>
    <xf numFmtId="193" fontId="36" fillId="0" borderId="0" xfId="13" applyNumberFormat="1" applyFont="1" applyAlignment="1">
      <alignment horizontal="center" vertical="center"/>
    </xf>
    <xf numFmtId="183" fontId="36" fillId="2" borderId="2" xfId="11" applyNumberFormat="1" applyFont="1" applyFill="1" applyBorder="1" applyAlignment="1" applyProtection="1">
      <alignment horizontal="center" vertical="center" shrinkToFit="1"/>
      <protection locked="0"/>
    </xf>
    <xf numFmtId="0" fontId="36" fillId="0" borderId="2" xfId="11" applyFont="1" applyBorder="1" applyAlignment="1">
      <alignment horizontal="center" vertical="center"/>
    </xf>
    <xf numFmtId="0" fontId="10" fillId="0" borderId="0" xfId="11" applyFont="1" applyAlignment="1">
      <alignment vertical="center" shrinkToFit="1"/>
    </xf>
    <xf numFmtId="14" fontId="36" fillId="0" borderId="0" xfId="11" applyNumberFormat="1" applyFont="1" applyAlignment="1">
      <alignment horizontal="center" vertical="center" shrinkToFit="1"/>
    </xf>
    <xf numFmtId="193" fontId="36" fillId="0" borderId="123" xfId="13" applyNumberFormat="1" applyFont="1" applyBorder="1" applyAlignment="1">
      <alignment horizontal="center" vertical="center" shrinkToFit="1"/>
    </xf>
    <xf numFmtId="0" fontId="36" fillId="0" borderId="123" xfId="13" applyFont="1" applyBorder="1" applyAlignment="1">
      <alignment horizontal="center" vertical="center" shrinkToFit="1"/>
    </xf>
    <xf numFmtId="0" fontId="36" fillId="0" borderId="123" xfId="11" applyFont="1" applyBorder="1" applyAlignment="1">
      <alignment horizontal="center" vertical="center" shrinkToFit="1"/>
    </xf>
    <xf numFmtId="193" fontId="36" fillId="0" borderId="0" xfId="13" applyNumberFormat="1" applyFont="1" applyAlignment="1">
      <alignment horizontal="center" vertical="center" shrinkToFit="1"/>
    </xf>
    <xf numFmtId="0" fontId="36" fillId="0" borderId="0" xfId="14" applyNumberFormat="1" applyFont="1" applyAlignment="1" applyProtection="1">
      <alignment horizontal="center" vertical="center" shrinkToFit="1"/>
    </xf>
    <xf numFmtId="0" fontId="36" fillId="0" borderId="28" xfId="13" applyFont="1" applyBorder="1" applyAlignment="1">
      <alignment horizontal="center" vertical="center" shrinkToFit="1"/>
    </xf>
    <xf numFmtId="49" fontId="36" fillId="0" borderId="125" xfId="13" applyNumberFormat="1" applyFont="1" applyBorder="1" applyAlignment="1">
      <alignment horizontal="center" vertical="center" shrinkToFit="1"/>
    </xf>
    <xf numFmtId="49" fontId="36" fillId="0" borderId="30" xfId="13" applyNumberFormat="1" applyFont="1" applyBorder="1" applyAlignment="1">
      <alignment horizontal="center" vertical="center" shrinkToFit="1"/>
    </xf>
    <xf numFmtId="0" fontId="36" fillId="0" borderId="30" xfId="13" applyFont="1" applyBorder="1" applyAlignment="1">
      <alignment horizontal="center" vertical="center" shrinkToFit="1"/>
    </xf>
    <xf numFmtId="0" fontId="36" fillId="0" borderId="3" xfId="11" applyFont="1" applyBorder="1" applyAlignment="1"/>
    <xf numFmtId="0" fontId="36" fillId="0" borderId="127" xfId="11" applyFont="1" applyBorder="1" applyAlignment="1"/>
    <xf numFmtId="49" fontId="36" fillId="0" borderId="24" xfId="13" applyNumberFormat="1" applyFont="1" applyBorder="1" applyAlignment="1">
      <alignment horizontal="center" vertical="center" shrinkToFit="1"/>
    </xf>
    <xf numFmtId="49" fontId="36" fillId="0" borderId="71" xfId="13" applyNumberFormat="1" applyFont="1" applyBorder="1" applyAlignment="1">
      <alignment horizontal="center" vertical="center" shrinkToFit="1"/>
    </xf>
    <xf numFmtId="0" fontId="36" fillId="0" borderId="71" xfId="13" applyFont="1" applyBorder="1" applyAlignment="1">
      <alignment horizontal="center" vertical="center" shrinkToFit="1"/>
    </xf>
    <xf numFmtId="0" fontId="76" fillId="0" borderId="0" xfId="11" applyFont="1" applyAlignment="1"/>
    <xf numFmtId="193" fontId="36" fillId="0" borderId="1" xfId="11" applyNumberFormat="1" applyFont="1" applyBorder="1" applyAlignment="1">
      <alignment horizontal="center" vertical="center"/>
    </xf>
    <xf numFmtId="0" fontId="36" fillId="25" borderId="131" xfId="11" applyFont="1" applyFill="1" applyBorder="1" applyAlignment="1">
      <alignment horizontal="center" vertical="center" shrinkToFit="1"/>
    </xf>
    <xf numFmtId="0" fontId="76" fillId="0" borderId="0" xfId="11" applyFont="1" applyAlignment="1">
      <alignment horizontal="center" vertical="center"/>
    </xf>
    <xf numFmtId="0" fontId="76" fillId="0" borderId="118" xfId="11" applyFont="1" applyBorder="1" applyAlignment="1">
      <alignment horizontal="center" vertical="center"/>
    </xf>
    <xf numFmtId="0" fontId="9" fillId="0" borderId="8" xfId="13" applyFont="1" applyBorder="1" applyAlignment="1">
      <alignment horizontal="center" vertical="center" shrinkToFit="1"/>
    </xf>
    <xf numFmtId="193" fontId="9" fillId="0" borderId="8" xfId="13" applyNumberFormat="1" applyFont="1" applyBorder="1" applyAlignment="1">
      <alignment horizontal="center" vertical="center" shrinkToFit="1"/>
    </xf>
    <xf numFmtId="49" fontId="36" fillId="0" borderId="8" xfId="13" applyNumberFormat="1" applyFont="1" applyBorder="1" applyAlignment="1">
      <alignment horizontal="center" vertical="center" shrinkToFit="1"/>
    </xf>
    <xf numFmtId="193" fontId="9" fillId="0" borderId="24" xfId="13" applyNumberFormat="1" applyFont="1" applyBorder="1" applyAlignment="1">
      <alignment horizontal="center" vertical="center" shrinkToFit="1"/>
    </xf>
    <xf numFmtId="193" fontId="9" fillId="0" borderId="71" xfId="13" applyNumberFormat="1" applyFont="1" applyBorder="1" applyAlignment="1">
      <alignment horizontal="center" vertical="center" shrinkToFit="1"/>
    </xf>
    <xf numFmtId="49" fontId="9" fillId="0" borderId="71" xfId="13" applyNumberFormat="1" applyFont="1" applyBorder="1" applyAlignment="1">
      <alignment horizontal="center" vertical="center" shrinkToFit="1"/>
    </xf>
    <xf numFmtId="0" fontId="9" fillId="0" borderId="71" xfId="13" applyFont="1" applyBorder="1" applyAlignment="1">
      <alignment horizontal="center" vertical="center" shrinkToFit="1"/>
    </xf>
    <xf numFmtId="14" fontId="84" fillId="0" borderId="136" xfId="11" applyNumberFormat="1" applyFont="1" applyBorder="1" applyAlignment="1">
      <alignment horizontal="center" vertical="center" shrinkToFit="1"/>
    </xf>
    <xf numFmtId="0" fontId="36" fillId="0" borderId="137" xfId="11" applyFont="1" applyBorder="1" applyAlignment="1">
      <alignment horizontal="center" vertical="center" shrinkToFit="1"/>
    </xf>
    <xf numFmtId="14" fontId="84" fillId="0" borderId="138" xfId="11" applyNumberFormat="1" applyFont="1" applyBorder="1" applyAlignment="1">
      <alignment horizontal="center" vertical="center" shrinkToFit="1"/>
    </xf>
    <xf numFmtId="0" fontId="36" fillId="0" borderId="7" xfId="11" applyFont="1" applyBorder="1" applyAlignment="1">
      <alignment horizontal="center" vertical="center" shrinkToFit="1"/>
    </xf>
    <xf numFmtId="0" fontId="73" fillId="0" borderId="0" xfId="12" applyFont="1" applyAlignment="1">
      <alignment horizontal="left" vertical="center"/>
    </xf>
    <xf numFmtId="0" fontId="76" fillId="0" borderId="140" xfId="11" applyFont="1" applyBorder="1">
      <alignment vertical="center"/>
    </xf>
    <xf numFmtId="0" fontId="76" fillId="0" borderId="141" xfId="11" applyFont="1" applyBorder="1">
      <alignment vertical="center"/>
    </xf>
    <xf numFmtId="0" fontId="76" fillId="0" borderId="141" xfId="11" applyFont="1" applyBorder="1" applyAlignment="1">
      <alignment horizontal="center" vertical="center"/>
    </xf>
    <xf numFmtId="0" fontId="77" fillId="0" borderId="142" xfId="11" applyFont="1" applyBorder="1">
      <alignment vertical="center"/>
    </xf>
    <xf numFmtId="0" fontId="76" fillId="0" borderId="143" xfId="11" applyFont="1" applyBorder="1">
      <alignment vertical="center"/>
    </xf>
    <xf numFmtId="0" fontId="76" fillId="0" borderId="118" xfId="11" applyFont="1" applyBorder="1" applyAlignment="1"/>
    <xf numFmtId="0" fontId="9" fillId="0" borderId="144" xfId="13" applyFont="1" applyBorder="1" applyAlignment="1">
      <alignment horizontal="center" vertical="center" shrinkToFit="1"/>
    </xf>
    <xf numFmtId="0" fontId="9" fillId="0" borderId="145" xfId="13" applyFont="1" applyBorder="1" applyAlignment="1">
      <alignment horizontal="center" vertical="center" shrinkToFit="1"/>
    </xf>
    <xf numFmtId="193" fontId="9" fillId="0" borderId="145" xfId="13" applyNumberFormat="1" applyFont="1" applyBorder="1" applyAlignment="1">
      <alignment horizontal="center" vertical="center" shrinkToFit="1"/>
    </xf>
    <xf numFmtId="49" fontId="36" fillId="0" borderId="145" xfId="13" applyNumberFormat="1" applyFont="1" applyBorder="1" applyAlignment="1">
      <alignment horizontal="center" vertical="center" shrinkToFit="1"/>
    </xf>
    <xf numFmtId="0" fontId="9" fillId="0" borderId="55" xfId="13" applyFont="1" applyBorder="1" applyAlignment="1">
      <alignment vertical="center" shrinkToFit="1"/>
    </xf>
    <xf numFmtId="0" fontId="9" fillId="0" borderId="53" xfId="13" applyFont="1" applyBorder="1" applyAlignment="1">
      <alignment vertical="center" shrinkToFit="1"/>
    </xf>
    <xf numFmtId="0" fontId="36" fillId="0" borderId="148" xfId="15" applyNumberFormat="1" applyFont="1" applyBorder="1" applyAlignment="1" applyProtection="1">
      <alignment horizontal="center" vertical="center" shrinkToFit="1"/>
    </xf>
    <xf numFmtId="0" fontId="76" fillId="0" borderId="151" xfId="11" applyFont="1" applyBorder="1">
      <alignment vertical="center"/>
    </xf>
    <xf numFmtId="0" fontId="76" fillId="0" borderId="152" xfId="11" applyFont="1" applyBorder="1">
      <alignment vertical="center"/>
    </xf>
    <xf numFmtId="0" fontId="76" fillId="0" borderId="152" xfId="11" applyFont="1" applyBorder="1" applyAlignment="1">
      <alignment horizontal="center" vertical="center"/>
    </xf>
    <xf numFmtId="0" fontId="77" fillId="0" borderId="153" xfId="11" applyFont="1" applyBorder="1">
      <alignment vertical="center"/>
    </xf>
    <xf numFmtId="0" fontId="76" fillId="0" borderId="138" xfId="11" applyFont="1" applyBorder="1">
      <alignment vertical="center"/>
    </xf>
    <xf numFmtId="0" fontId="36" fillId="0" borderId="130" xfId="13" applyFont="1" applyBorder="1" applyAlignment="1">
      <alignment horizontal="center" vertical="center" shrinkToFit="1"/>
    </xf>
    <xf numFmtId="0" fontId="36" fillId="30" borderId="10" xfId="13" applyFont="1" applyFill="1" applyBorder="1" applyAlignment="1">
      <alignment horizontal="center" vertical="center" shrinkToFit="1"/>
    </xf>
    <xf numFmtId="0" fontId="36" fillId="26" borderId="71" xfId="13" applyFont="1" applyFill="1" applyBorder="1" applyAlignment="1">
      <alignment horizontal="center" vertical="center" shrinkToFit="1"/>
    </xf>
    <xf numFmtId="0" fontId="36" fillId="26" borderId="30" xfId="13" applyFont="1" applyFill="1" applyBorder="1" applyAlignment="1">
      <alignment horizontal="center" vertical="center" shrinkToFit="1"/>
    </xf>
    <xf numFmtId="0" fontId="36" fillId="30" borderId="71" xfId="13" applyFont="1" applyFill="1" applyBorder="1" applyAlignment="1">
      <alignment horizontal="center" vertical="center" shrinkToFit="1"/>
    </xf>
    <xf numFmtId="0" fontId="36" fillId="30" borderId="116" xfId="13" applyFont="1" applyFill="1" applyBorder="1" applyAlignment="1">
      <alignment horizontal="center" vertical="center" shrinkToFit="1"/>
    </xf>
    <xf numFmtId="0" fontId="36" fillId="13" borderId="71" xfId="13" applyFont="1" applyFill="1" applyBorder="1" applyAlignment="1">
      <alignment horizontal="center" vertical="center" shrinkToFit="1"/>
    </xf>
    <xf numFmtId="0" fontId="36" fillId="30" borderId="30" xfId="13" applyFont="1" applyFill="1" applyBorder="1" applyAlignment="1">
      <alignment horizontal="center" vertical="center" shrinkToFit="1"/>
    </xf>
    <xf numFmtId="0" fontId="36" fillId="30" borderId="0" xfId="11" applyFont="1" applyFill="1" applyAlignment="1">
      <alignment horizontal="center" vertical="center" shrinkToFit="1"/>
    </xf>
    <xf numFmtId="0" fontId="36" fillId="30" borderId="10" xfId="11" applyFont="1" applyFill="1" applyBorder="1" applyAlignment="1">
      <alignment horizontal="center" vertical="center" shrinkToFit="1"/>
    </xf>
    <xf numFmtId="0" fontId="36" fillId="30" borderId="144" xfId="13" applyFont="1" applyFill="1" applyBorder="1" applyAlignment="1">
      <alignment horizontal="center" vertical="center" shrinkToFit="1"/>
    </xf>
    <xf numFmtId="0" fontId="36" fillId="26" borderId="145" xfId="13" applyFont="1" applyFill="1" applyBorder="1" applyAlignment="1">
      <alignment horizontal="center" vertical="center" shrinkToFit="1"/>
    </xf>
    <xf numFmtId="0" fontId="36" fillId="30" borderId="133" xfId="13" applyFont="1" applyFill="1" applyBorder="1" applyAlignment="1">
      <alignment horizontal="center" vertical="center" shrinkToFit="1"/>
    </xf>
    <xf numFmtId="0" fontId="36" fillId="30" borderId="145" xfId="13" applyFont="1" applyFill="1" applyBorder="1" applyAlignment="1">
      <alignment horizontal="center" vertical="center" shrinkToFit="1"/>
    </xf>
    <xf numFmtId="0" fontId="36" fillId="13" borderId="145" xfId="13" applyFont="1" applyFill="1" applyBorder="1" applyAlignment="1">
      <alignment horizontal="center" vertical="center" shrinkToFit="1"/>
    </xf>
    <xf numFmtId="0" fontId="36" fillId="30" borderId="76" xfId="11" applyFont="1" applyFill="1" applyBorder="1" applyAlignment="1">
      <alignment horizontal="center" vertical="center" shrinkToFit="1"/>
    </xf>
    <xf numFmtId="0" fontId="13" fillId="26" borderId="148" xfId="16" applyNumberFormat="1" applyFont="1" applyFill="1" applyBorder="1" applyAlignment="1" applyProtection="1">
      <alignment horizontal="center" vertical="center" shrinkToFit="1"/>
    </xf>
    <xf numFmtId="49" fontId="36" fillId="0" borderId="0" xfId="11" applyNumberFormat="1" applyFont="1" applyAlignment="1">
      <alignment horizontal="center" vertical="center"/>
    </xf>
    <xf numFmtId="49" fontId="36" fillId="0" borderId="117" xfId="11" applyNumberFormat="1" applyFont="1" applyBorder="1" applyAlignment="1">
      <alignment horizontal="center" vertical="center"/>
    </xf>
    <xf numFmtId="49" fontId="75" fillId="0" borderId="0" xfId="11" applyNumberFormat="1" applyFont="1" applyAlignment="1">
      <alignment horizontal="center" vertical="center"/>
    </xf>
    <xf numFmtId="0" fontId="9" fillId="2" borderId="131" xfId="11" applyFont="1" applyFill="1" applyBorder="1" applyAlignment="1">
      <alignment horizontal="center" vertical="center" shrinkToFit="1"/>
    </xf>
    <xf numFmtId="49" fontId="36" fillId="0" borderId="0" xfId="13" applyNumberFormat="1" applyFont="1" applyAlignment="1">
      <alignment horizontal="center" vertical="center" shrinkToFit="1"/>
    </xf>
    <xf numFmtId="49" fontId="36" fillId="4" borderId="1" xfId="13" applyNumberFormat="1" applyFont="1" applyFill="1" applyBorder="1" applyAlignment="1">
      <alignment horizontal="center" vertical="center" shrinkToFit="1"/>
    </xf>
    <xf numFmtId="49" fontId="36" fillId="0" borderId="0" xfId="13" applyNumberFormat="1" applyFont="1" applyAlignment="1">
      <alignment vertical="center" shrinkToFit="1"/>
    </xf>
    <xf numFmtId="49" fontId="36" fillId="0" borderId="42" xfId="11" applyNumberFormat="1" applyFont="1" applyBorder="1" applyAlignment="1">
      <alignment vertical="center" shrinkToFit="1"/>
    </xf>
    <xf numFmtId="49" fontId="81" fillId="0" borderId="42" xfId="11" applyNumberFormat="1" applyFont="1" applyBorder="1">
      <alignment vertical="center"/>
    </xf>
    <xf numFmtId="49" fontId="36" fillId="0" borderId="0" xfId="11" applyNumberFormat="1" applyFont="1" applyAlignment="1">
      <alignment horizontal="center" vertical="center" shrinkToFit="1"/>
    </xf>
    <xf numFmtId="0" fontId="13" fillId="0" borderId="0" xfId="17" applyFont="1">
      <alignment vertical="center"/>
    </xf>
    <xf numFmtId="0" fontId="13" fillId="0" borderId="0" xfId="17" applyFont="1" applyAlignment="1">
      <alignment horizontal="left" vertical="center"/>
    </xf>
    <xf numFmtId="183" fontId="13" fillId="0" borderId="0" xfId="17" applyNumberFormat="1" applyFont="1" applyAlignment="1">
      <alignment horizontal="left" vertical="center"/>
    </xf>
    <xf numFmtId="0" fontId="13" fillId="0" borderId="0" xfId="17" applyFont="1" applyAlignment="1">
      <alignment horizontal="center" vertical="center"/>
    </xf>
    <xf numFmtId="0" fontId="13" fillId="0" borderId="0" xfId="17" applyFont="1" applyAlignment="1">
      <alignment horizontal="right" vertical="center"/>
    </xf>
    <xf numFmtId="0" fontId="11" fillId="0" borderId="0" xfId="17" applyFont="1" applyAlignment="1">
      <alignment horizontal="center" vertical="center"/>
    </xf>
    <xf numFmtId="0" fontId="11" fillId="0" borderId="0" xfId="17" applyFont="1">
      <alignment vertical="center"/>
    </xf>
    <xf numFmtId="0" fontId="87" fillId="0" borderId="0" xfId="17" applyFont="1">
      <alignment vertical="center"/>
    </xf>
    <xf numFmtId="0" fontId="88" fillId="0" borderId="0" xfId="17" applyFont="1">
      <alignment vertical="center"/>
    </xf>
    <xf numFmtId="0" fontId="88" fillId="0" borderId="0" xfId="17" applyFont="1" applyAlignment="1">
      <alignment horizontal="center" vertical="center"/>
    </xf>
    <xf numFmtId="0" fontId="88" fillId="0" borderId="0" xfId="17" applyFont="1" applyAlignment="1">
      <alignment horizontal="right" vertical="center"/>
    </xf>
    <xf numFmtId="0" fontId="11" fillId="0" borderId="156" xfId="17" applyFont="1" applyBorder="1" applyAlignment="1">
      <alignment horizontal="left" vertical="center"/>
    </xf>
    <xf numFmtId="0" fontId="11" fillId="0" borderId="7" xfId="17" applyFont="1" applyBorder="1">
      <alignment vertical="center"/>
    </xf>
    <xf numFmtId="197" fontId="21" fillId="2" borderId="7" xfId="17" applyNumberFormat="1" applyFont="1" applyFill="1" applyBorder="1" applyAlignment="1">
      <alignment horizontal="center" vertical="center"/>
    </xf>
    <xf numFmtId="0" fontId="80" fillId="0" borderId="136" xfId="17" applyFont="1" applyBorder="1" applyAlignment="1">
      <alignment horizontal="center" vertical="center"/>
    </xf>
    <xf numFmtId="0" fontId="84" fillId="0" borderId="85" xfId="10" applyFont="1" applyBorder="1" applyAlignment="1">
      <alignment horizontal="left" vertical="center" shrinkToFit="1"/>
    </xf>
    <xf numFmtId="0" fontId="84" fillId="0" borderId="16" xfId="17" applyFont="1" applyBorder="1">
      <alignment vertical="center"/>
    </xf>
    <xf numFmtId="197" fontId="89" fillId="0" borderId="16" xfId="18" applyNumberFormat="1" applyFont="1" applyBorder="1" applyAlignment="1" applyProtection="1">
      <alignment horizontal="center" vertical="center"/>
    </xf>
    <xf numFmtId="0" fontId="36" fillId="0" borderId="16" xfId="17" applyFont="1" applyBorder="1">
      <alignment vertical="center"/>
    </xf>
    <xf numFmtId="197" fontId="84" fillId="0" borderId="16" xfId="18" applyNumberFormat="1" applyFont="1" applyBorder="1" applyAlignment="1" applyProtection="1">
      <alignment horizontal="center" vertical="center"/>
    </xf>
    <xf numFmtId="0" fontId="84" fillId="0" borderId="16" xfId="10" applyFont="1" applyBorder="1" applyAlignment="1">
      <alignment horizontal="left" vertical="center"/>
    </xf>
    <xf numFmtId="38" fontId="89" fillId="28" borderId="16" xfId="18" applyFont="1" applyFill="1" applyBorder="1" applyAlignment="1" applyProtection="1">
      <alignment horizontal="center" vertical="center"/>
      <protection locked="0"/>
    </xf>
    <xf numFmtId="0" fontId="89" fillId="0" borderId="16" xfId="10" applyFont="1" applyBorder="1" applyAlignment="1">
      <alignment vertical="center" shrinkToFit="1"/>
    </xf>
    <xf numFmtId="0" fontId="84" fillId="0" borderId="82" xfId="10" applyFont="1" applyBorder="1" applyAlignment="1">
      <alignment horizontal="left" vertical="center" shrinkToFit="1"/>
    </xf>
    <xf numFmtId="0" fontId="84" fillId="0" borderId="36" xfId="17" applyFont="1" applyBorder="1">
      <alignment vertical="center"/>
    </xf>
    <xf numFmtId="197" fontId="89" fillId="0" borderId="36" xfId="18" applyNumberFormat="1" applyFont="1" applyBorder="1" applyAlignment="1" applyProtection="1">
      <alignment horizontal="center" vertical="center"/>
    </xf>
    <xf numFmtId="0" fontId="36" fillId="0" borderId="36" xfId="17" applyFont="1" applyBorder="1">
      <alignment vertical="center"/>
    </xf>
    <xf numFmtId="197" fontId="84" fillId="0" borderId="36" xfId="18" applyNumberFormat="1" applyFont="1" applyBorder="1" applyAlignment="1" applyProtection="1">
      <alignment horizontal="center" vertical="center"/>
    </xf>
    <xf numFmtId="0" fontId="84" fillId="0" borderId="36" xfId="10" applyFont="1" applyBorder="1" applyAlignment="1">
      <alignment horizontal="left" vertical="center"/>
    </xf>
    <xf numFmtId="38" fontId="89" fillId="28" borderId="36" xfId="18" applyFont="1" applyFill="1" applyBorder="1" applyAlignment="1" applyProtection="1">
      <alignment horizontal="center" vertical="center"/>
      <protection locked="0"/>
    </xf>
    <xf numFmtId="0" fontId="89" fillId="0" borderId="36" xfId="10" applyFont="1" applyBorder="1" applyAlignment="1">
      <alignment vertical="center" shrinkToFit="1"/>
    </xf>
    <xf numFmtId="38" fontId="89" fillId="13" borderId="36" xfId="18" applyFont="1" applyFill="1" applyBorder="1" applyAlignment="1" applyProtection="1">
      <alignment horizontal="center" vertical="center"/>
      <protection locked="0"/>
    </xf>
    <xf numFmtId="0" fontId="84" fillId="0" borderId="158" xfId="10" applyFont="1" applyBorder="1" applyAlignment="1">
      <alignment horizontal="left" vertical="center" shrinkToFit="1"/>
    </xf>
    <xf numFmtId="0" fontId="84" fillId="0" borderId="15" xfId="17" applyFont="1" applyBorder="1">
      <alignment vertical="center"/>
    </xf>
    <xf numFmtId="197" fontId="89" fillId="0" borderId="15" xfId="18" applyNumberFormat="1" applyFont="1" applyBorder="1" applyAlignment="1" applyProtection="1">
      <alignment horizontal="center" vertical="center"/>
    </xf>
    <xf numFmtId="0" fontId="36" fillId="0" borderId="15" xfId="17" applyFont="1" applyBorder="1">
      <alignment vertical="center"/>
    </xf>
    <xf numFmtId="197" fontId="84" fillId="0" borderId="15" xfId="18" applyNumberFormat="1" applyFont="1" applyBorder="1" applyAlignment="1" applyProtection="1">
      <alignment horizontal="center" vertical="center"/>
    </xf>
    <xf numFmtId="0" fontId="84" fillId="0" borderId="15" xfId="10" applyFont="1" applyBorder="1" applyAlignment="1">
      <alignment horizontal="left" vertical="center"/>
    </xf>
    <xf numFmtId="38" fontId="89" fillId="28" borderId="15" xfId="18" applyFont="1" applyFill="1" applyBorder="1" applyAlignment="1" applyProtection="1">
      <alignment horizontal="center" vertical="center"/>
      <protection locked="0"/>
    </xf>
    <xf numFmtId="0" fontId="89" fillId="0" borderId="15" xfId="10" applyFont="1" applyBorder="1" applyAlignment="1">
      <alignment vertical="center" shrinkToFit="1"/>
    </xf>
    <xf numFmtId="0" fontId="8" fillId="0" borderId="160" xfId="17" quotePrefix="1" applyFont="1" applyBorder="1">
      <alignment vertical="center"/>
    </xf>
    <xf numFmtId="0" fontId="91" fillId="0" borderId="138" xfId="17" applyFont="1" applyBorder="1" applyAlignment="1">
      <alignment horizontal="center" vertical="center"/>
    </xf>
    <xf numFmtId="0" fontId="91" fillId="0" borderId="7" xfId="17" applyFont="1" applyBorder="1" applyAlignment="1">
      <alignment horizontal="center" vertical="center"/>
    </xf>
    <xf numFmtId="14" fontId="91" fillId="0" borderId="161" xfId="17" applyNumberFormat="1" applyFont="1" applyBorder="1" applyAlignment="1">
      <alignment horizontal="center" vertical="center"/>
    </xf>
    <xf numFmtId="0" fontId="91" fillId="0" borderId="156" xfId="17" applyFont="1" applyBorder="1" applyAlignment="1">
      <alignment horizontal="center" vertical="center"/>
    </xf>
    <xf numFmtId="0" fontId="8" fillId="0" borderId="162" xfId="17" quotePrefix="1" applyFont="1" applyBorder="1">
      <alignment vertical="center"/>
    </xf>
    <xf numFmtId="0" fontId="91" fillId="0" borderId="5" xfId="17" applyFont="1" applyBorder="1" applyAlignment="1">
      <alignment horizontal="center" vertical="center"/>
    </xf>
    <xf numFmtId="0" fontId="91" fillId="0" borderId="2" xfId="17" applyFont="1" applyBorder="1" applyAlignment="1">
      <alignment horizontal="center" vertical="center"/>
    </xf>
    <xf numFmtId="14" fontId="91" fillId="0" borderId="163" xfId="17" applyNumberFormat="1" applyFont="1" applyBorder="1" applyAlignment="1">
      <alignment horizontal="center" vertical="center"/>
    </xf>
    <xf numFmtId="0" fontId="91" fillId="0" borderId="164" xfId="17" applyFont="1" applyBorder="1" applyAlignment="1">
      <alignment horizontal="center" vertical="center"/>
    </xf>
    <xf numFmtId="0" fontId="33" fillId="34" borderId="147" xfId="17" applyFont="1" applyFill="1" applyBorder="1" applyAlignment="1">
      <alignment horizontal="center" vertical="center"/>
    </xf>
    <xf numFmtId="0" fontId="11" fillId="0" borderId="0" xfId="17" applyFont="1" applyAlignment="1">
      <alignment vertical="top"/>
    </xf>
    <xf numFmtId="0" fontId="11" fillId="0" borderId="156" xfId="17" applyFont="1" applyBorder="1">
      <alignment vertical="center"/>
    </xf>
    <xf numFmtId="198" fontId="21" fillId="2" borderId="7" xfId="17" applyNumberFormat="1" applyFont="1" applyFill="1" applyBorder="1" applyAlignment="1">
      <alignment horizontal="center" vertical="center"/>
    </xf>
    <xf numFmtId="0" fontId="11" fillId="0" borderId="85" xfId="17" applyFont="1" applyBorder="1">
      <alignment vertical="center"/>
    </xf>
    <xf numFmtId="198" fontId="8" fillId="0" borderId="16" xfId="17" applyNumberFormat="1" applyFont="1" applyBorder="1" applyAlignment="1">
      <alignment horizontal="center" vertical="center"/>
    </xf>
    <xf numFmtId="0" fontId="13" fillId="0" borderId="16" xfId="17" applyFont="1" applyBorder="1" applyAlignment="1">
      <alignment horizontal="center" vertical="center"/>
    </xf>
    <xf numFmtId="0" fontId="8" fillId="0" borderId="16" xfId="17" applyFont="1" applyBorder="1" applyAlignment="1">
      <alignment horizontal="center" vertical="center"/>
    </xf>
    <xf numFmtId="0" fontId="11" fillId="0" borderId="16" xfId="17" applyFont="1" applyBorder="1" applyAlignment="1">
      <alignment horizontal="center" vertical="center"/>
    </xf>
    <xf numFmtId="0" fontId="8" fillId="0" borderId="16" xfId="17" applyFont="1" applyBorder="1">
      <alignment vertical="center"/>
    </xf>
    <xf numFmtId="0" fontId="33" fillId="0" borderId="84" xfId="17" applyFont="1" applyBorder="1" applyAlignment="1">
      <alignment horizontal="center" vertical="center"/>
    </xf>
    <xf numFmtId="0" fontId="11" fillId="0" borderId="124" xfId="17" applyFont="1" applyBorder="1" applyAlignment="1">
      <alignment horizontal="center" vertical="center"/>
    </xf>
    <xf numFmtId="0" fontId="11" fillId="0" borderId="82" xfId="17" applyFont="1" applyBorder="1">
      <alignment vertical="center"/>
    </xf>
    <xf numFmtId="198" fontId="8" fillId="0" borderId="36" xfId="17" applyNumberFormat="1" applyFont="1" applyBorder="1" applyAlignment="1">
      <alignment horizontal="center" vertical="center"/>
    </xf>
    <xf numFmtId="0" fontId="13" fillId="0" borderId="36" xfId="17" applyFont="1" applyBorder="1" applyAlignment="1">
      <alignment horizontal="center" vertical="center"/>
    </xf>
    <xf numFmtId="0" fontId="8" fillId="0" borderId="36" xfId="17" applyFont="1" applyBorder="1" applyAlignment="1">
      <alignment horizontal="center" vertical="center"/>
    </xf>
    <xf numFmtId="0" fontId="11" fillId="0" borderId="36" xfId="17" applyFont="1" applyBorder="1" applyAlignment="1">
      <alignment horizontal="center" vertical="center"/>
    </xf>
    <xf numFmtId="0" fontId="8" fillId="28" borderId="36" xfId="17" applyFont="1" applyFill="1" applyBorder="1" applyAlignment="1" applyProtection="1">
      <alignment horizontal="center" vertical="center"/>
      <protection locked="0"/>
    </xf>
    <xf numFmtId="0" fontId="10" fillId="0" borderId="36" xfId="17" applyFont="1" applyBorder="1">
      <alignment vertical="center"/>
    </xf>
    <xf numFmtId="0" fontId="33" fillId="0" borderId="81" xfId="17" applyFont="1" applyBorder="1" applyAlignment="1">
      <alignment horizontal="center" vertical="center"/>
    </xf>
    <xf numFmtId="0" fontId="11" fillId="0" borderId="134" xfId="17" applyFont="1" applyBorder="1" applyAlignment="1">
      <alignment horizontal="center" vertical="center"/>
    </xf>
    <xf numFmtId="0" fontId="11" fillId="0" borderId="36" xfId="17" applyFont="1" applyBorder="1" applyAlignment="1">
      <alignment horizontal="left" vertical="center"/>
    </xf>
    <xf numFmtId="0" fontId="8" fillId="0" borderId="36" xfId="17" applyFont="1" applyBorder="1">
      <alignment vertical="center"/>
    </xf>
    <xf numFmtId="0" fontId="11" fillId="0" borderId="27" xfId="17" applyFont="1" applyBorder="1" applyAlignment="1">
      <alignment horizontal="center" vertical="center"/>
    </xf>
    <xf numFmtId="0" fontId="8" fillId="28" borderId="26" xfId="17" applyFont="1" applyFill="1" applyBorder="1" applyAlignment="1" applyProtection="1">
      <alignment horizontal="center" vertical="center"/>
      <protection locked="0"/>
    </xf>
    <xf numFmtId="0" fontId="29" fillId="15" borderId="25" xfId="17" applyFont="1" applyFill="1" applyBorder="1" applyAlignment="1">
      <alignment horizontal="center" vertical="center"/>
    </xf>
    <xf numFmtId="0" fontId="89" fillId="0" borderId="36" xfId="17" applyFont="1" applyBorder="1">
      <alignment vertical="center"/>
    </xf>
    <xf numFmtId="0" fontId="13" fillId="0" borderId="169" xfId="17" applyFont="1" applyBorder="1">
      <alignment vertical="center"/>
    </xf>
    <xf numFmtId="0" fontId="11" fillId="0" borderId="158" xfId="17" applyFont="1" applyBorder="1">
      <alignment vertical="center"/>
    </xf>
    <xf numFmtId="198" fontId="8" fillId="0" borderId="15" xfId="17" applyNumberFormat="1" applyFont="1" applyBorder="1" applyAlignment="1">
      <alignment horizontal="center" vertical="center"/>
    </xf>
    <xf numFmtId="0" fontId="13" fillId="0" borderId="15" xfId="17" applyFont="1" applyBorder="1" applyAlignment="1">
      <alignment horizontal="center" vertical="center"/>
    </xf>
    <xf numFmtId="0" fontId="8" fillId="0" borderId="15" xfId="17" applyFont="1" applyBorder="1" applyAlignment="1">
      <alignment horizontal="center" vertical="center"/>
    </xf>
    <xf numFmtId="0" fontId="11" fillId="0" borderId="15" xfId="17" applyFont="1" applyBorder="1" applyAlignment="1">
      <alignment horizontal="center" vertical="center"/>
    </xf>
    <xf numFmtId="0" fontId="8" fillId="28" borderId="15" xfId="17" applyFont="1" applyFill="1" applyBorder="1" applyAlignment="1" applyProtection="1">
      <alignment horizontal="center" vertical="center"/>
      <protection locked="0"/>
    </xf>
    <xf numFmtId="0" fontId="8" fillId="0" borderId="15" xfId="17" applyFont="1" applyBorder="1">
      <alignment vertical="center"/>
    </xf>
    <xf numFmtId="0" fontId="33" fillId="0" borderId="165" xfId="17" applyFont="1" applyBorder="1" applyAlignment="1">
      <alignment horizontal="center" vertical="center"/>
    </xf>
    <xf numFmtId="0" fontId="79" fillId="0" borderId="134" xfId="17" applyFont="1" applyBorder="1" applyAlignment="1">
      <alignment horizontal="center" vertical="center"/>
    </xf>
    <xf numFmtId="0" fontId="33" fillId="34" borderId="168" xfId="17" applyFont="1" applyFill="1" applyBorder="1">
      <alignment vertical="center"/>
    </xf>
    <xf numFmtId="0" fontId="11" fillId="0" borderId="48" xfId="17" applyFont="1" applyBorder="1">
      <alignment vertical="center"/>
    </xf>
    <xf numFmtId="197" fontId="21" fillId="2" borderId="66" xfId="17" applyNumberFormat="1" applyFont="1" applyFill="1" applyBorder="1" applyAlignment="1">
      <alignment horizontal="center" vertical="center"/>
    </xf>
    <xf numFmtId="0" fontId="80" fillId="0" borderId="66" xfId="17" applyFont="1" applyBorder="1" applyAlignment="1">
      <alignment horizontal="center" vertical="center"/>
    </xf>
    <xf numFmtId="0" fontId="13" fillId="0" borderId="66" xfId="17" applyFont="1" applyBorder="1">
      <alignment vertical="center"/>
    </xf>
    <xf numFmtId="0" fontId="8" fillId="0" borderId="66" xfId="17" applyFont="1" applyBorder="1">
      <alignment vertical="center"/>
    </xf>
    <xf numFmtId="0" fontId="13" fillId="0" borderId="65" xfId="17" applyFont="1" applyBorder="1">
      <alignment vertical="center"/>
    </xf>
    <xf numFmtId="180" fontId="8" fillId="0" borderId="2" xfId="17" applyNumberFormat="1" applyFont="1" applyBorder="1">
      <alignment vertical="center"/>
    </xf>
    <xf numFmtId="0" fontId="8" fillId="35" borderId="2" xfId="17" applyFont="1" applyFill="1" applyBorder="1" applyAlignment="1">
      <alignment horizontal="right" vertical="center"/>
    </xf>
    <xf numFmtId="0" fontId="11" fillId="0" borderId="99" xfId="17" applyFont="1" applyBorder="1">
      <alignment vertical="center"/>
    </xf>
    <xf numFmtId="197" fontId="8" fillId="0" borderId="42" xfId="19" applyNumberFormat="1" applyFont="1" applyBorder="1" applyAlignment="1">
      <alignment horizontal="center" vertical="center"/>
    </xf>
    <xf numFmtId="0" fontId="13" fillId="0" borderId="42" xfId="17" applyFont="1" applyBorder="1">
      <alignment vertical="center"/>
    </xf>
    <xf numFmtId="0" fontId="8" fillId="0" borderId="42" xfId="17" applyFont="1" applyBorder="1">
      <alignment vertical="center"/>
    </xf>
    <xf numFmtId="0" fontId="13" fillId="0" borderId="41" xfId="17" applyFont="1" applyBorder="1">
      <alignment vertical="center"/>
    </xf>
    <xf numFmtId="0" fontId="11" fillId="0" borderId="95" xfId="17" applyFont="1" applyBorder="1">
      <alignment vertical="center"/>
    </xf>
    <xf numFmtId="197" fontId="8" fillId="0" borderId="0" xfId="19" applyNumberFormat="1" applyFont="1" applyAlignment="1">
      <alignment horizontal="center" vertical="center"/>
    </xf>
    <xf numFmtId="0" fontId="8" fillId="0" borderId="0" xfId="17" applyFont="1">
      <alignment vertical="center"/>
    </xf>
    <xf numFmtId="0" fontId="13" fillId="0" borderId="28" xfId="17" applyFont="1" applyBorder="1">
      <alignment vertical="center"/>
    </xf>
    <xf numFmtId="0" fontId="11" fillId="0" borderId="95" xfId="17" applyFont="1" applyBorder="1" applyAlignment="1">
      <alignment horizontal="left" vertical="center"/>
    </xf>
    <xf numFmtId="38" fontId="8" fillId="0" borderId="0" xfId="19" applyFont="1" applyBorder="1" applyAlignment="1" applyProtection="1">
      <alignment horizontal="center" vertical="center"/>
    </xf>
    <xf numFmtId="0" fontId="11" fillId="0" borderId="92" xfId="17" applyFont="1" applyBorder="1" applyAlignment="1">
      <alignment horizontal="left" vertical="center"/>
    </xf>
    <xf numFmtId="38" fontId="8" fillId="0" borderId="76" xfId="19" applyFont="1" applyBorder="1" applyAlignment="1">
      <alignment horizontal="center" vertical="center"/>
    </xf>
    <xf numFmtId="0" fontId="8" fillId="13" borderId="76" xfId="17" applyFont="1" applyFill="1" applyBorder="1" applyAlignment="1" applyProtection="1">
      <alignment horizontal="center" vertical="center"/>
      <protection locked="0"/>
    </xf>
    <xf numFmtId="0" fontId="13" fillId="0" borderId="76" xfId="17" applyFont="1" applyBorder="1">
      <alignment vertical="center"/>
    </xf>
    <xf numFmtId="0" fontId="8" fillId="0" borderId="76" xfId="17" applyFont="1" applyBorder="1">
      <alignment vertical="center"/>
    </xf>
    <xf numFmtId="0" fontId="13" fillId="0" borderId="33" xfId="17" applyFont="1" applyBorder="1">
      <alignment vertical="center"/>
    </xf>
    <xf numFmtId="0" fontId="11" fillId="0" borderId="0" xfId="17" applyFont="1" applyAlignment="1">
      <alignment horizontal="left" vertical="center"/>
    </xf>
    <xf numFmtId="0" fontId="8" fillId="0" borderId="0" xfId="17" applyFont="1" applyAlignment="1">
      <alignment horizontal="center" vertical="center"/>
    </xf>
    <xf numFmtId="0" fontId="8" fillId="0" borderId="0" xfId="17" applyFont="1" applyAlignment="1">
      <alignment horizontal="right" vertical="center"/>
    </xf>
    <xf numFmtId="0" fontId="8" fillId="0" borderId="0" xfId="17" applyFont="1" applyAlignment="1">
      <alignment horizontal="left" vertical="center"/>
    </xf>
    <xf numFmtId="0" fontId="13" fillId="0" borderId="42" xfId="17" applyFont="1" applyBorder="1" applyAlignment="1">
      <alignment horizontal="center" vertical="center"/>
    </xf>
    <xf numFmtId="183" fontId="0" fillId="0" borderId="0" xfId="0" applyNumberFormat="1" applyAlignment="1">
      <alignment horizontal="left" vertical="center"/>
    </xf>
    <xf numFmtId="0" fontId="46" fillId="0" borderId="0" xfId="6" applyFont="1" applyAlignment="1">
      <alignment vertical="center" shrinkToFit="1"/>
    </xf>
    <xf numFmtId="0" fontId="50" fillId="0" borderId="0" xfId="6" applyFont="1" applyAlignment="1">
      <alignment vertical="center" shrinkToFit="1"/>
    </xf>
    <xf numFmtId="0" fontId="51" fillId="0" borderId="0" xfId="6" applyFont="1" applyAlignment="1">
      <alignment vertical="center" shrinkToFit="1"/>
    </xf>
    <xf numFmtId="0" fontId="51" fillId="0" borderId="0" xfId="6" applyFont="1" applyAlignment="1">
      <alignment horizontal="left" shrinkToFit="1"/>
    </xf>
    <xf numFmtId="0" fontId="51" fillId="0" borderId="0" xfId="6" applyFont="1" applyAlignment="1">
      <alignment horizontal="center" vertical="center" shrinkToFit="1"/>
    </xf>
    <xf numFmtId="0" fontId="46" fillId="18" borderId="2" xfId="6" applyFont="1" applyFill="1" applyBorder="1" applyAlignment="1">
      <alignment horizontal="center" vertical="center" shrinkToFit="1"/>
    </xf>
    <xf numFmtId="180" fontId="46" fillId="0" borderId="2" xfId="6" applyNumberFormat="1" applyFont="1" applyBorder="1" applyAlignment="1">
      <alignment horizontal="center" vertical="center" shrinkToFit="1"/>
    </xf>
    <xf numFmtId="0" fontId="46" fillId="0" borderId="0" xfId="6" applyFont="1" applyAlignment="1">
      <alignment horizontal="center" vertical="center" shrinkToFit="1"/>
    </xf>
    <xf numFmtId="0" fontId="56" fillId="19" borderId="26" xfId="6" applyFont="1" applyFill="1" applyBorder="1" applyAlignment="1">
      <alignment horizontal="center" vertical="center" shrinkToFit="1"/>
    </xf>
    <xf numFmtId="0" fontId="57" fillId="0" borderId="0" xfId="6" applyFont="1" applyAlignment="1">
      <alignment vertical="center" shrinkToFit="1"/>
    </xf>
    <xf numFmtId="191" fontId="58" fillId="20" borderId="30" xfId="8" applyNumberFormat="1" applyFont="1" applyFill="1" applyBorder="1" applyAlignment="1" applyProtection="1">
      <alignment vertical="center" shrinkToFit="1"/>
    </xf>
    <xf numFmtId="191" fontId="46" fillId="10" borderId="12" xfId="8" applyNumberFormat="1" applyFont="1" applyFill="1" applyBorder="1" applyAlignment="1" applyProtection="1">
      <alignment vertical="center" shrinkToFit="1"/>
    </xf>
    <xf numFmtId="191" fontId="46" fillId="20" borderId="12" xfId="8" applyNumberFormat="1" applyFont="1" applyFill="1" applyBorder="1" applyAlignment="1" applyProtection="1">
      <alignment vertical="center" shrinkToFit="1"/>
    </xf>
    <xf numFmtId="191" fontId="46" fillId="10" borderId="36" xfId="8" applyNumberFormat="1" applyFont="1" applyFill="1" applyBorder="1" applyAlignment="1" applyProtection="1">
      <alignment vertical="center" shrinkToFit="1"/>
    </xf>
    <xf numFmtId="191" fontId="46" fillId="20" borderId="36" xfId="8" applyNumberFormat="1" applyFont="1" applyFill="1" applyBorder="1" applyAlignment="1" applyProtection="1">
      <alignment vertical="center" shrinkToFit="1"/>
    </xf>
    <xf numFmtId="0" fontId="46" fillId="0" borderId="0" xfId="6" applyFont="1" applyAlignment="1">
      <alignment horizontal="left" vertical="center" shrinkToFit="1"/>
    </xf>
    <xf numFmtId="191" fontId="46" fillId="10" borderId="16" xfId="8" applyNumberFormat="1" applyFont="1" applyFill="1" applyBorder="1" applyAlignment="1" applyProtection="1">
      <alignment vertical="center" shrinkToFit="1"/>
    </xf>
    <xf numFmtId="191" fontId="46" fillId="20" borderId="16" xfId="8" applyNumberFormat="1" applyFont="1" applyFill="1" applyBorder="1" applyAlignment="1" applyProtection="1">
      <alignment vertical="center" shrinkToFit="1"/>
    </xf>
    <xf numFmtId="184" fontId="63" fillId="10" borderId="48" xfId="7" applyNumberFormat="1" applyFont="1" applyFill="1" applyBorder="1" applyAlignment="1" applyProtection="1">
      <alignment horizontal="center" vertical="center" shrinkToFit="1"/>
    </xf>
    <xf numFmtId="0" fontId="64" fillId="0" borderId="0" xfId="6" applyFont="1">
      <alignment vertical="center"/>
    </xf>
    <xf numFmtId="191" fontId="46" fillId="10" borderId="49" xfId="8" applyNumberFormat="1" applyFont="1" applyFill="1" applyBorder="1" applyAlignment="1" applyProtection="1">
      <alignment vertical="center" shrinkToFit="1"/>
    </xf>
    <xf numFmtId="191" fontId="46" fillId="20" borderId="49" xfId="8" applyNumberFormat="1" applyFont="1" applyFill="1" applyBorder="1" applyAlignment="1" applyProtection="1">
      <alignment vertical="center" shrinkToFit="1"/>
    </xf>
    <xf numFmtId="0" fontId="59" fillId="0" borderId="0" xfId="6" applyFont="1" applyAlignment="1">
      <alignment horizontal="center" vertical="center"/>
    </xf>
    <xf numFmtId="191" fontId="46" fillId="7" borderId="26" xfId="6" applyNumberFormat="1" applyFont="1" applyFill="1" applyBorder="1" applyAlignment="1">
      <alignment vertical="center" shrinkToFit="1"/>
    </xf>
    <xf numFmtId="191" fontId="46" fillId="20" borderId="63" xfId="8" applyNumberFormat="1" applyFont="1" applyFill="1" applyBorder="1" applyAlignment="1" applyProtection="1">
      <alignment vertical="center" shrinkToFit="1"/>
    </xf>
    <xf numFmtId="191" fontId="46" fillId="10" borderId="63" xfId="8" applyNumberFormat="1" applyFont="1" applyFill="1" applyBorder="1" applyAlignment="1" applyProtection="1">
      <alignment vertical="center" shrinkToFit="1"/>
    </xf>
    <xf numFmtId="191" fontId="46" fillId="23" borderId="26" xfId="8" applyNumberFormat="1" applyFont="1" applyFill="1" applyBorder="1" applyAlignment="1" applyProtection="1">
      <alignment horizontal="center" vertical="center" shrinkToFit="1"/>
    </xf>
    <xf numFmtId="191" fontId="46" fillId="23" borderId="26" xfId="8" applyNumberFormat="1" applyFont="1" applyFill="1" applyBorder="1" applyAlignment="1" applyProtection="1">
      <alignment vertical="center" shrinkToFit="1"/>
    </xf>
    <xf numFmtId="191" fontId="46" fillId="20" borderId="26" xfId="8" applyNumberFormat="1" applyFont="1" applyFill="1" applyBorder="1" applyAlignment="1" applyProtection="1">
      <alignment vertical="center" shrinkToFit="1"/>
    </xf>
    <xf numFmtId="191" fontId="46" fillId="20" borderId="27" xfId="8" applyNumberFormat="1" applyFont="1" applyFill="1" applyBorder="1" applyAlignment="1" applyProtection="1">
      <alignment vertical="center" shrinkToFit="1"/>
    </xf>
    <xf numFmtId="191" fontId="58" fillId="24" borderId="74" xfId="6" applyNumberFormat="1" applyFont="1" applyFill="1" applyBorder="1" applyAlignment="1">
      <alignment vertical="center" shrinkToFit="1"/>
    </xf>
    <xf numFmtId="0" fontId="70" fillId="0" borderId="1" xfId="10" applyFont="1" applyBorder="1" applyAlignment="1">
      <alignment horizontal="center" vertical="center" shrinkToFit="1"/>
    </xf>
    <xf numFmtId="0" fontId="46" fillId="21" borderId="87" xfId="6" applyFont="1" applyFill="1" applyBorder="1" applyAlignment="1">
      <alignment vertical="center" shrinkToFit="1"/>
    </xf>
    <xf numFmtId="0" fontId="46" fillId="21" borderId="44" xfId="6" applyFont="1" applyFill="1" applyBorder="1" applyAlignment="1">
      <alignment vertical="center" shrinkToFit="1"/>
    </xf>
    <xf numFmtId="191" fontId="97" fillId="5" borderId="2" xfId="8" applyNumberFormat="1" applyFont="1" applyFill="1" applyBorder="1" applyAlignment="1" applyProtection="1">
      <alignment horizontal="right" vertical="center" shrinkToFit="1"/>
    </xf>
    <xf numFmtId="199" fontId="97" fillId="5" borderId="2" xfId="8" applyNumberFormat="1" applyFont="1" applyFill="1" applyBorder="1" applyAlignment="1" applyProtection="1">
      <alignment horizontal="right" vertical="center" shrinkToFit="1"/>
    </xf>
    <xf numFmtId="191" fontId="46" fillId="25" borderId="2" xfId="8" applyNumberFormat="1" applyFont="1" applyFill="1" applyBorder="1" applyAlignment="1" applyProtection="1">
      <alignment vertical="center" shrinkToFit="1"/>
    </xf>
    <xf numFmtId="184" fontId="46" fillId="25" borderId="2" xfId="7" applyNumberFormat="1" applyFont="1" applyFill="1" applyBorder="1" applyAlignment="1" applyProtection="1">
      <alignment horizontal="center" vertical="center" shrinkToFit="1"/>
    </xf>
    <xf numFmtId="191" fontId="58" fillId="0" borderId="74" xfId="6" applyNumberFormat="1" applyFont="1" applyBorder="1" applyAlignment="1">
      <alignment vertical="center" shrinkToFit="1"/>
    </xf>
    <xf numFmtId="191" fontId="58" fillId="10" borderId="74" xfId="6" applyNumberFormat="1" applyFont="1" applyFill="1" applyBorder="1" applyAlignment="1">
      <alignment vertical="center" shrinkToFit="1"/>
    </xf>
    <xf numFmtId="191" fontId="58" fillId="0" borderId="75" xfId="6" applyNumberFormat="1" applyFont="1" applyBorder="1" applyAlignment="1">
      <alignment vertical="center" shrinkToFit="1"/>
    </xf>
    <xf numFmtId="191" fontId="58" fillId="0" borderId="73" xfId="6" applyNumberFormat="1" applyFont="1" applyBorder="1" applyAlignment="1">
      <alignment vertical="center" shrinkToFit="1"/>
    </xf>
    <xf numFmtId="0" fontId="58" fillId="24" borderId="89" xfId="6" applyFont="1" applyFill="1" applyBorder="1" applyAlignment="1">
      <alignment horizontal="right" vertical="center" indent="1" shrinkToFit="1"/>
    </xf>
    <xf numFmtId="191" fontId="58" fillId="0" borderId="90" xfId="6" applyNumberFormat="1" applyFont="1" applyBorder="1" applyAlignment="1">
      <alignment vertical="center" shrinkToFit="1"/>
    </xf>
    <xf numFmtId="9" fontId="58" fillId="10" borderId="91" xfId="7" applyFont="1" applyFill="1" applyBorder="1" applyAlignment="1" applyProtection="1">
      <alignment horizontal="right" vertical="center" indent="1" shrinkToFit="1"/>
    </xf>
    <xf numFmtId="0" fontId="46" fillId="0" borderId="0" xfId="6" applyFont="1" applyAlignment="1">
      <alignment horizontal="right" vertical="center" shrinkToFit="1"/>
    </xf>
    <xf numFmtId="0" fontId="58" fillId="24" borderId="2" xfId="6" applyFont="1" applyFill="1" applyBorder="1" applyAlignment="1">
      <alignment horizontal="right" vertical="center" indent="1" shrinkToFit="1"/>
    </xf>
    <xf numFmtId="191" fontId="58" fillId="0" borderId="94" xfId="6" applyNumberFormat="1" applyFont="1" applyBorder="1" applyAlignment="1">
      <alignment vertical="center" shrinkToFit="1"/>
    </xf>
    <xf numFmtId="0" fontId="46" fillId="0" borderId="0" xfId="6" applyFont="1">
      <alignment vertical="center"/>
    </xf>
    <xf numFmtId="0" fontId="46" fillId="0" borderId="2" xfId="6" applyFont="1" applyBorder="1" applyAlignment="1">
      <alignment horizontal="right" vertical="center" shrinkToFit="1"/>
    </xf>
    <xf numFmtId="191" fontId="46" fillId="0" borderId="2" xfId="6" applyNumberFormat="1" applyFont="1" applyBorder="1" applyAlignment="1">
      <alignment vertical="center" shrinkToFit="1"/>
    </xf>
    <xf numFmtId="191" fontId="58" fillId="0" borderId="98" xfId="6" applyNumberFormat="1" applyFont="1" applyBorder="1" applyAlignment="1">
      <alignment vertical="center" shrinkToFit="1"/>
    </xf>
    <xf numFmtId="0" fontId="46" fillId="0" borderId="2" xfId="6" applyFont="1" applyBorder="1" applyAlignment="1">
      <alignment vertical="center" shrinkToFit="1"/>
    </xf>
    <xf numFmtId="0" fontId="87" fillId="0" borderId="0" xfId="0" applyFont="1" applyAlignment="1">
      <alignment horizontal="left" vertical="center"/>
    </xf>
    <xf numFmtId="0" fontId="87" fillId="0" borderId="0" xfId="0" applyFont="1">
      <alignment vertical="center"/>
    </xf>
    <xf numFmtId="0" fontId="14" fillId="0" borderId="0" xfId="0" applyFont="1" applyAlignment="1">
      <alignment horizontal="left" vertical="center"/>
    </xf>
    <xf numFmtId="0" fontId="99" fillId="0" borderId="0" xfId="0" applyFont="1">
      <alignment vertical="center"/>
    </xf>
    <xf numFmtId="180" fontId="21" fillId="2" borderId="0" xfId="0" applyNumberFormat="1" applyFont="1" applyFill="1" applyAlignment="1">
      <alignment horizontal="center" vertical="center"/>
    </xf>
    <xf numFmtId="49" fontId="10" fillId="2" borderId="0" xfId="0" applyNumberFormat="1" applyFont="1" applyFill="1" applyAlignment="1">
      <alignment horizontal="left" vertical="center"/>
    </xf>
    <xf numFmtId="49" fontId="10" fillId="2" borderId="2" xfId="0" applyNumberFormat="1" applyFont="1" applyFill="1" applyBorder="1" applyAlignment="1">
      <alignment horizontal="left" vertical="center"/>
    </xf>
    <xf numFmtId="0" fontId="0" fillId="29" borderId="0" xfId="0" applyFill="1" applyAlignment="1">
      <alignment horizontal="left" vertical="center"/>
    </xf>
    <xf numFmtId="0" fontId="26" fillId="12" borderId="0" xfId="0" applyFont="1" applyFill="1" applyAlignment="1">
      <alignment horizontal="left" vertical="center"/>
    </xf>
    <xf numFmtId="0" fontId="0" fillId="36" borderId="0" xfId="0" applyFill="1" applyAlignment="1">
      <alignment horizontal="left" vertical="center"/>
    </xf>
    <xf numFmtId="0" fontId="26" fillId="37" borderId="0" xfId="0" applyFont="1" applyFill="1" applyAlignment="1">
      <alignment horizontal="left" vertical="center"/>
    </xf>
    <xf numFmtId="0" fontId="0" fillId="38" borderId="0" xfId="0" applyFill="1" applyAlignment="1">
      <alignment horizontal="left" vertical="center"/>
    </xf>
    <xf numFmtId="0" fontId="11" fillId="0" borderId="0" xfId="1" applyNumberFormat="1" applyFont="1" applyAlignment="1">
      <alignment horizontal="center" vertical="center"/>
    </xf>
    <xf numFmtId="0" fontId="37" fillId="0" borderId="0" xfId="0" applyFont="1">
      <alignment vertical="center"/>
    </xf>
    <xf numFmtId="0" fontId="37" fillId="0" borderId="0" xfId="0" applyFont="1" applyAlignment="1">
      <alignment horizontal="center" vertical="center"/>
    </xf>
    <xf numFmtId="0" fontId="8" fillId="0" borderId="0" xfId="0" applyFont="1" applyAlignment="1">
      <alignment horizontal="center" vertical="center"/>
    </xf>
    <xf numFmtId="0" fontId="8" fillId="2" borderId="2" xfId="0" applyFont="1" applyFill="1" applyBorder="1" applyAlignment="1">
      <alignment horizontal="center" vertical="center"/>
    </xf>
    <xf numFmtId="0" fontId="21" fillId="2" borderId="1" xfId="0" applyFont="1" applyFill="1" applyBorder="1" applyAlignment="1">
      <alignment horizontal="center" vertical="center"/>
    </xf>
    <xf numFmtId="180" fontId="0" fillId="0" borderId="0" xfId="0" applyNumberFormat="1" applyAlignment="1">
      <alignment horizontal="center" vertical="center"/>
    </xf>
    <xf numFmtId="180" fontId="100" fillId="0" borderId="0" xfId="0" applyNumberFormat="1" applyFont="1" applyAlignment="1">
      <alignment horizontal="center" vertical="center"/>
    </xf>
    <xf numFmtId="0" fontId="101" fillId="0" borderId="0" xfId="0" applyFont="1">
      <alignment vertical="center"/>
    </xf>
    <xf numFmtId="0" fontId="36" fillId="0" borderId="2" xfId="11" applyFont="1" applyBorder="1" applyAlignment="1">
      <alignment shrinkToFit="1"/>
    </xf>
    <xf numFmtId="0" fontId="9" fillId="0" borderId="123" xfId="11" applyFont="1" applyBorder="1" applyAlignment="1">
      <alignment vertical="center" shrinkToFit="1"/>
    </xf>
    <xf numFmtId="0" fontId="36" fillId="2" borderId="2" xfId="11" applyFont="1" applyFill="1" applyBorder="1" applyAlignment="1" applyProtection="1">
      <alignment horizontal="center" vertical="center" wrapText="1" shrinkToFit="1"/>
      <protection locked="0"/>
    </xf>
    <xf numFmtId="0" fontId="94" fillId="0" borderId="0" xfId="0" applyFont="1" applyAlignment="1">
      <alignment horizontal="center" vertical="center"/>
    </xf>
    <xf numFmtId="38" fontId="13" fillId="0" borderId="0" xfId="1" applyFont="1" applyAlignment="1">
      <alignment horizontal="left" vertical="center"/>
    </xf>
    <xf numFmtId="14" fontId="13" fillId="0" borderId="0" xfId="1" applyNumberFormat="1" applyFont="1" applyAlignment="1">
      <alignment horizontal="left" vertical="center"/>
    </xf>
    <xf numFmtId="0" fontId="62" fillId="0" borderId="0" xfId="9" applyFont="1" applyAlignment="1" applyProtection="1">
      <alignment vertical="center" shrinkToFit="1"/>
    </xf>
    <xf numFmtId="0" fontId="98" fillId="0" borderId="0" xfId="6" applyFont="1" applyAlignment="1">
      <alignment vertical="center" shrinkToFit="1"/>
    </xf>
    <xf numFmtId="0" fontId="105" fillId="0" borderId="0" xfId="0" applyFont="1" applyAlignment="1">
      <alignment horizontal="left" vertical="center"/>
    </xf>
    <xf numFmtId="0" fontId="106" fillId="0" borderId="0" xfId="0" applyFont="1">
      <alignment vertical="center"/>
    </xf>
    <xf numFmtId="0" fontId="87" fillId="0" borderId="0" xfId="0" applyFont="1" applyAlignment="1">
      <alignment horizontal="center" vertical="center"/>
    </xf>
    <xf numFmtId="0" fontId="14" fillId="0" borderId="0" xfId="0" applyFont="1" applyAlignment="1">
      <alignment horizontal="center" vertical="center"/>
    </xf>
    <xf numFmtId="14" fontId="87" fillId="0" borderId="0" xfId="0" applyNumberFormat="1" applyFont="1" applyAlignment="1">
      <alignment horizontal="center" vertical="center"/>
    </xf>
    <xf numFmtId="40" fontId="13" fillId="0" borderId="0" xfId="1" applyNumberFormat="1" applyFont="1" applyAlignment="1">
      <alignment horizontal="left" vertical="center"/>
    </xf>
    <xf numFmtId="0" fontId="8" fillId="2" borderId="0" xfId="17" applyFont="1" applyFill="1">
      <alignment vertical="center"/>
    </xf>
    <xf numFmtId="197" fontId="8" fillId="2" borderId="0" xfId="19" applyNumberFormat="1" applyFont="1" applyFill="1" applyAlignment="1">
      <alignment horizontal="center" vertical="center"/>
    </xf>
    <xf numFmtId="10" fontId="46" fillId="0" borderId="190" xfId="7" applyNumberFormat="1" applyFont="1" applyBorder="1" applyAlignment="1" applyProtection="1">
      <alignment horizontal="center" vertical="center" shrinkToFit="1"/>
    </xf>
    <xf numFmtId="0" fontId="14" fillId="0" borderId="4" xfId="0" applyFont="1" applyBorder="1" applyAlignment="1">
      <alignment horizontal="left" vertical="center" indent="2"/>
    </xf>
    <xf numFmtId="0" fontId="11" fillId="0" borderId="0" xfId="0" applyFont="1" applyAlignment="1">
      <alignment horizontal="left" vertical="top" wrapText="1"/>
    </xf>
    <xf numFmtId="0" fontId="14" fillId="0" borderId="0" xfId="0" applyFont="1" applyAlignment="1">
      <alignment horizontal="center" vertical="center" wrapText="1" shrinkToFit="1"/>
    </xf>
    <xf numFmtId="0" fontId="14" fillId="0" borderId="4" xfId="0" applyFont="1" applyBorder="1" applyAlignment="1">
      <alignment horizontal="center" vertical="center" shrinkToFit="1"/>
    </xf>
    <xf numFmtId="180" fontId="39" fillId="15" borderId="2" xfId="0" applyNumberFormat="1" applyFont="1" applyFill="1" applyBorder="1" applyAlignment="1">
      <alignment horizontal="center" vertical="center" shrinkToFit="1"/>
    </xf>
    <xf numFmtId="0" fontId="20" fillId="0" borderId="0" xfId="0" applyFont="1" applyAlignment="1">
      <alignment horizontal="left" vertical="center"/>
    </xf>
    <xf numFmtId="180" fontId="20" fillId="16" borderId="9" xfId="0" applyNumberFormat="1" applyFont="1" applyFill="1" applyBorder="1" applyAlignment="1">
      <alignment horizontal="center" vertical="center"/>
    </xf>
    <xf numFmtId="180" fontId="20" fillId="16" borderId="11" xfId="0" applyNumberFormat="1" applyFont="1" applyFill="1" applyBorder="1" applyAlignment="1">
      <alignment horizontal="center" vertical="center"/>
    </xf>
    <xf numFmtId="180" fontId="20" fillId="16" borderId="14" xfId="0" applyNumberFormat="1" applyFont="1" applyFill="1" applyBorder="1" applyAlignment="1">
      <alignment horizontal="center" vertical="center"/>
    </xf>
    <xf numFmtId="180" fontId="24" fillId="10" borderId="2" xfId="0" applyNumberFormat="1" applyFont="1" applyFill="1" applyBorder="1" applyAlignment="1">
      <alignment horizontal="left" vertical="center" shrinkToFit="1"/>
    </xf>
    <xf numFmtId="189" fontId="20" fillId="10" borderId="5" xfId="0" applyNumberFormat="1" applyFont="1" applyFill="1" applyBorder="1" applyAlignment="1" applyProtection="1">
      <alignment horizontal="center" vertical="center"/>
      <protection locked="0"/>
    </xf>
    <xf numFmtId="189" fontId="20" fillId="10" borderId="6" xfId="0" applyNumberFormat="1" applyFont="1" applyFill="1" applyBorder="1" applyAlignment="1" applyProtection="1">
      <alignment horizontal="center" vertical="center"/>
      <protection locked="0"/>
    </xf>
    <xf numFmtId="189" fontId="20" fillId="10" borderId="3" xfId="0" applyNumberFormat="1" applyFont="1" applyFill="1" applyBorder="1" applyAlignment="1" applyProtection="1">
      <alignment horizontal="center" vertical="center"/>
      <protection locked="0"/>
    </xf>
    <xf numFmtId="185" fontId="20" fillId="16" borderId="8" xfId="0" applyNumberFormat="1" applyFont="1" applyFill="1" applyBorder="1" applyAlignment="1">
      <alignment horizontal="center" vertical="center" shrinkToFit="1"/>
    </xf>
    <xf numFmtId="0" fontId="24" fillId="0" borderId="2" xfId="0" applyFont="1" applyBorder="1" applyAlignment="1">
      <alignment horizontal="left" vertical="center" shrinkToFit="1"/>
    </xf>
    <xf numFmtId="189" fontId="24" fillId="10" borderId="2" xfId="0" applyNumberFormat="1" applyFont="1" applyFill="1" applyBorder="1" applyAlignment="1">
      <alignment horizontal="center" vertical="center" shrinkToFit="1"/>
    </xf>
    <xf numFmtId="0" fontId="24" fillId="10" borderId="2" xfId="0" applyFont="1" applyFill="1" applyBorder="1" applyAlignment="1">
      <alignment horizontal="left" vertical="center" shrinkToFit="1"/>
    </xf>
    <xf numFmtId="180" fontId="24" fillId="16" borderId="2" xfId="0" applyNumberFormat="1" applyFont="1" applyFill="1" applyBorder="1" applyAlignment="1">
      <alignment horizontal="center" vertical="center" shrinkToFit="1"/>
    </xf>
    <xf numFmtId="180" fontId="20" fillId="16" borderId="5" xfId="0" applyNumberFormat="1" applyFont="1" applyFill="1" applyBorder="1" applyAlignment="1">
      <alignment horizontal="center" vertical="center"/>
    </xf>
    <xf numFmtId="180" fontId="20" fillId="16" borderId="3" xfId="0" applyNumberFormat="1" applyFont="1" applyFill="1" applyBorder="1" applyAlignment="1">
      <alignment horizontal="center" vertical="center"/>
    </xf>
    <xf numFmtId="180" fontId="20" fillId="16" borderId="6" xfId="0" applyNumberFormat="1" applyFont="1" applyFill="1" applyBorder="1" applyAlignment="1">
      <alignment horizontal="center" vertical="center"/>
    </xf>
    <xf numFmtId="189" fontId="43" fillId="6" borderId="2" xfId="0" applyNumberFormat="1" applyFont="1" applyFill="1" applyBorder="1" applyAlignment="1">
      <alignment horizontal="center" vertical="center" shrinkToFit="1"/>
    </xf>
    <xf numFmtId="0" fontId="36" fillId="0" borderId="0" xfId="0" applyFont="1" applyAlignment="1">
      <alignment horizontal="left" vertical="center" shrinkToFit="1"/>
    </xf>
    <xf numFmtId="189" fontId="45" fillId="10" borderId="2" xfId="0" applyNumberFormat="1" applyFont="1" applyFill="1" applyBorder="1" applyAlignment="1">
      <alignment horizontal="center" vertical="center" shrinkToFit="1"/>
    </xf>
    <xf numFmtId="0" fontId="24" fillId="16" borderId="2" xfId="0" applyFont="1" applyFill="1" applyBorder="1" applyAlignment="1">
      <alignment horizontal="center" vertical="center" shrinkToFit="1"/>
    </xf>
    <xf numFmtId="189" fontId="44" fillId="6" borderId="2" xfId="0" applyNumberFormat="1" applyFont="1" applyFill="1" applyBorder="1" applyAlignment="1">
      <alignment horizontal="center" vertical="center" shrinkToFit="1"/>
    </xf>
    <xf numFmtId="0" fontId="24" fillId="0" borderId="0" xfId="0" applyFont="1" applyAlignment="1">
      <alignment horizontal="left" vertical="center" shrinkToFit="1"/>
    </xf>
    <xf numFmtId="180" fontId="24" fillId="16" borderId="2" xfId="0" applyNumberFormat="1" applyFont="1" applyFill="1" applyBorder="1" applyAlignment="1">
      <alignment horizontal="left" vertical="center" shrinkToFit="1"/>
    </xf>
    <xf numFmtId="0" fontId="24" fillId="2" borderId="2" xfId="0" applyFont="1" applyFill="1" applyBorder="1" applyAlignment="1">
      <alignment horizontal="center" vertical="center" shrinkToFit="1"/>
    </xf>
    <xf numFmtId="180" fontId="24" fillId="10" borderId="2" xfId="0" applyNumberFormat="1" applyFont="1" applyFill="1" applyBorder="1" applyAlignment="1">
      <alignment horizontal="left" vertical="center" wrapText="1" shrinkToFit="1"/>
    </xf>
    <xf numFmtId="0" fontId="24" fillId="16" borderId="10" xfId="0" applyFont="1" applyFill="1" applyBorder="1" applyAlignment="1">
      <alignment horizontal="center" vertical="center" shrinkToFit="1"/>
    </xf>
    <xf numFmtId="180" fontId="24" fillId="0" borderId="5" xfId="0" applyNumberFormat="1" applyFont="1" applyBorder="1" applyAlignment="1">
      <alignment horizontal="left" vertical="center" shrinkToFit="1"/>
    </xf>
    <xf numFmtId="180" fontId="24" fillId="0" borderId="6" xfId="0" applyNumberFormat="1" applyFont="1" applyBorder="1" applyAlignment="1">
      <alignment horizontal="left" vertical="center" shrinkToFit="1"/>
    </xf>
    <xf numFmtId="180" fontId="24" fillId="0" borderId="3" xfId="0" applyNumberFormat="1" applyFont="1" applyBorder="1" applyAlignment="1">
      <alignment horizontal="left" vertical="center" shrinkToFit="1"/>
    </xf>
    <xf numFmtId="180" fontId="24" fillId="16" borderId="10" xfId="0" applyNumberFormat="1" applyFont="1" applyFill="1" applyBorder="1" applyAlignment="1">
      <alignment horizontal="right" vertical="center" shrinkToFit="1"/>
    </xf>
    <xf numFmtId="0" fontId="24" fillId="10" borderId="2" xfId="0" applyFont="1" applyFill="1" applyBorder="1" applyAlignment="1">
      <alignment horizontal="left" vertical="center" wrapText="1" shrinkToFit="1"/>
    </xf>
    <xf numFmtId="176" fontId="24" fillId="2" borderId="2" xfId="3" applyFont="1" applyFill="1" applyBorder="1" applyAlignment="1">
      <alignment horizontal="right" vertical="center" indent="1" shrinkToFit="1"/>
    </xf>
    <xf numFmtId="0" fontId="24" fillId="16" borderId="2" xfId="0" applyFont="1" applyFill="1" applyBorder="1" applyAlignment="1">
      <alignment horizontal="right" vertical="center" shrinkToFit="1"/>
    </xf>
    <xf numFmtId="176" fontId="24" fillId="10" borderId="2" xfId="3" applyFont="1" applyFill="1" applyBorder="1" applyAlignment="1">
      <alignment horizontal="right" vertical="center" indent="1" shrinkToFit="1"/>
    </xf>
    <xf numFmtId="180" fontId="24" fillId="10" borderId="17" xfId="0" applyNumberFormat="1" applyFont="1" applyFill="1" applyBorder="1" applyAlignment="1">
      <alignment horizontal="left" vertical="center" shrinkToFit="1"/>
    </xf>
    <xf numFmtId="180" fontId="24" fillId="10" borderId="22" xfId="0" applyNumberFormat="1" applyFont="1" applyFill="1" applyBorder="1" applyAlignment="1">
      <alignment horizontal="left" vertical="center" shrinkToFit="1"/>
    </xf>
    <xf numFmtId="180" fontId="24" fillId="10" borderId="18" xfId="0" applyNumberFormat="1" applyFont="1" applyFill="1" applyBorder="1" applyAlignment="1">
      <alignment horizontal="left" vertical="center" shrinkToFit="1"/>
    </xf>
    <xf numFmtId="190" fontId="24" fillId="10" borderId="15" xfId="3" applyNumberFormat="1" applyFont="1" applyFill="1" applyBorder="1" applyAlignment="1">
      <alignment horizontal="right" vertical="center" indent="1" shrinkToFit="1"/>
    </xf>
    <xf numFmtId="189" fontId="24" fillId="10" borderId="15" xfId="0" applyNumberFormat="1" applyFont="1" applyFill="1" applyBorder="1" applyAlignment="1">
      <alignment horizontal="right" vertical="center" shrinkToFit="1"/>
    </xf>
    <xf numFmtId="180" fontId="24" fillId="10" borderId="15" xfId="0" applyNumberFormat="1" applyFont="1" applyFill="1" applyBorder="1" applyAlignment="1">
      <alignment horizontal="left" vertical="center" shrinkToFit="1"/>
    </xf>
    <xf numFmtId="180" fontId="24" fillId="10" borderId="19" xfId="0" applyNumberFormat="1" applyFont="1" applyFill="1" applyBorder="1" applyAlignment="1">
      <alignment horizontal="left" vertical="center" shrinkToFit="1"/>
    </xf>
    <xf numFmtId="180" fontId="24" fillId="10" borderId="20" xfId="0" applyNumberFormat="1" applyFont="1" applyFill="1" applyBorder="1" applyAlignment="1">
      <alignment horizontal="left" vertical="center" shrinkToFit="1"/>
    </xf>
    <xf numFmtId="180" fontId="24" fillId="10" borderId="21" xfId="0" applyNumberFormat="1" applyFont="1" applyFill="1" applyBorder="1" applyAlignment="1">
      <alignment horizontal="left" vertical="center" shrinkToFit="1"/>
    </xf>
    <xf numFmtId="190" fontId="24" fillId="10" borderId="16" xfId="3" applyNumberFormat="1" applyFont="1" applyFill="1" applyBorder="1" applyAlignment="1">
      <alignment horizontal="right" vertical="center" indent="1" shrinkToFit="1"/>
    </xf>
    <xf numFmtId="189" fontId="24" fillId="10" borderId="16" xfId="0" applyNumberFormat="1" applyFont="1" applyFill="1" applyBorder="1" applyAlignment="1">
      <alignment horizontal="right" vertical="center" shrinkToFit="1"/>
    </xf>
    <xf numFmtId="180" fontId="24" fillId="10" borderId="16" xfId="0" applyNumberFormat="1" applyFont="1" applyFill="1" applyBorder="1" applyAlignment="1">
      <alignment horizontal="left" vertical="center" shrinkToFit="1"/>
    </xf>
    <xf numFmtId="176" fontId="24" fillId="2" borderId="5" xfId="3" applyFont="1" applyFill="1" applyBorder="1" applyAlignment="1">
      <alignment horizontal="right" vertical="center" indent="1" shrinkToFit="1"/>
    </xf>
    <xf numFmtId="176" fontId="24" fillId="2" borderId="6" xfId="3" applyFont="1" applyFill="1" applyBorder="1" applyAlignment="1">
      <alignment horizontal="right" vertical="center" indent="1" shrinkToFit="1"/>
    </xf>
    <xf numFmtId="176" fontId="24" fillId="2" borderId="3" xfId="3" applyFont="1" applyFill="1" applyBorder="1" applyAlignment="1">
      <alignment horizontal="right" vertical="center" indent="1" shrinkToFit="1"/>
    </xf>
    <xf numFmtId="176" fontId="24" fillId="10" borderId="5" xfId="3" applyFont="1" applyFill="1" applyBorder="1" applyAlignment="1">
      <alignment horizontal="right" vertical="center" indent="1" shrinkToFit="1"/>
    </xf>
    <xf numFmtId="176" fontId="24" fillId="10" borderId="6" xfId="3" applyFont="1" applyFill="1" applyBorder="1" applyAlignment="1">
      <alignment horizontal="right" vertical="center" indent="1" shrinkToFit="1"/>
    </xf>
    <xf numFmtId="176" fontId="24" fillId="10" borderId="3" xfId="3" applyFont="1" applyFill="1" applyBorder="1" applyAlignment="1">
      <alignment horizontal="right" vertical="center" indent="1" shrinkToFit="1"/>
    </xf>
    <xf numFmtId="0" fontId="24" fillId="7" borderId="2" xfId="0" applyFont="1" applyFill="1" applyBorder="1" applyAlignment="1">
      <alignment horizontal="center" vertical="center" shrinkToFit="1"/>
    </xf>
    <xf numFmtId="0" fontId="24" fillId="7" borderId="7" xfId="0" applyFont="1" applyFill="1" applyBorder="1" applyAlignment="1">
      <alignment horizontal="center" vertical="center" shrinkToFit="1"/>
    </xf>
    <xf numFmtId="176" fontId="24" fillId="10" borderId="13" xfId="3" applyFont="1" applyFill="1" applyBorder="1" applyAlignment="1">
      <alignment horizontal="right" vertical="center" indent="1" shrinkToFit="1"/>
    </xf>
    <xf numFmtId="0" fontId="24" fillId="16" borderId="8" xfId="0" applyFont="1" applyFill="1" applyBorder="1" applyAlignment="1">
      <alignment horizontal="center" vertical="center" shrinkToFit="1"/>
    </xf>
    <xf numFmtId="0" fontId="24" fillId="16" borderId="12" xfId="0" applyFont="1" applyFill="1" applyBorder="1" applyAlignment="1">
      <alignment horizontal="center" vertical="center" shrinkToFit="1"/>
    </xf>
    <xf numFmtId="176" fontId="24" fillId="10" borderId="12" xfId="3" applyFont="1" applyFill="1" applyBorder="1" applyAlignment="1">
      <alignment horizontal="right" vertical="center" indent="1" shrinkToFit="1"/>
    </xf>
    <xf numFmtId="0" fontId="24" fillId="16" borderId="16" xfId="0" applyFont="1" applyFill="1" applyBorder="1" applyAlignment="1">
      <alignment horizontal="center" vertical="center" shrinkToFit="1"/>
    </xf>
    <xf numFmtId="176" fontId="24" fillId="10" borderId="16" xfId="3" applyFont="1" applyFill="1" applyBorder="1" applyAlignment="1">
      <alignment horizontal="right" vertical="center" indent="1" shrinkToFit="1"/>
    </xf>
    <xf numFmtId="0" fontId="24" fillId="16" borderId="2" xfId="0" applyFont="1" applyFill="1" applyBorder="1" applyAlignment="1">
      <alignment horizontal="left" vertical="center" shrinkToFit="1"/>
    </xf>
    <xf numFmtId="184" fontId="24" fillId="10" borderId="15" xfId="4" applyNumberFormat="1" applyFont="1" applyFill="1" applyBorder="1" applyAlignment="1">
      <alignment horizontal="center" vertical="center" shrinkToFit="1"/>
    </xf>
    <xf numFmtId="184" fontId="24" fillId="10" borderId="13" xfId="4" applyNumberFormat="1" applyFont="1" applyFill="1" applyBorder="1" applyAlignment="1">
      <alignment horizontal="center" vertical="center" shrinkToFit="1"/>
    </xf>
    <xf numFmtId="176" fontId="24" fillId="10" borderId="15" xfId="3" applyFont="1" applyFill="1" applyBorder="1" applyAlignment="1">
      <alignment horizontal="right" vertical="center" indent="1" shrinkToFit="1"/>
    </xf>
    <xf numFmtId="0" fontId="20" fillId="0" borderId="6" xfId="0" applyFont="1" applyBorder="1" applyAlignment="1">
      <alignment horizontal="left" vertical="center"/>
    </xf>
    <xf numFmtId="187" fontId="24" fillId="10" borderId="2" xfId="1" applyNumberFormat="1" applyFont="1" applyFill="1" applyBorder="1" applyAlignment="1">
      <alignment horizontal="right" vertical="center" indent="1" shrinkToFit="1"/>
    </xf>
    <xf numFmtId="188" fontId="24" fillId="10" borderId="2" xfId="1" applyNumberFormat="1" applyFont="1" applyFill="1" applyBorder="1" applyAlignment="1">
      <alignment horizontal="right" vertical="center" indent="1" shrinkToFit="1"/>
    </xf>
    <xf numFmtId="180" fontId="20" fillId="16" borderId="2" xfId="0" applyNumberFormat="1" applyFont="1" applyFill="1" applyBorder="1" applyAlignment="1">
      <alignment horizontal="center" vertical="center"/>
    </xf>
    <xf numFmtId="0" fontId="24" fillId="10" borderId="2" xfId="0" applyFont="1" applyFill="1" applyBorder="1" applyAlignment="1">
      <alignment horizontal="center" vertical="center" shrinkToFit="1"/>
    </xf>
    <xf numFmtId="186" fontId="24" fillId="10" borderId="2" xfId="0" applyNumberFormat="1" applyFont="1" applyFill="1" applyBorder="1" applyAlignment="1">
      <alignment horizontal="center" vertical="center" shrinkToFit="1"/>
    </xf>
    <xf numFmtId="0" fontId="20" fillId="16" borderId="2" xfId="0" applyFont="1" applyFill="1" applyBorder="1" applyAlignment="1">
      <alignment horizontal="center" vertical="center" shrinkToFit="1"/>
    </xf>
    <xf numFmtId="185" fontId="20" fillId="10" borderId="2" xfId="0" applyNumberFormat="1" applyFont="1" applyFill="1" applyBorder="1" applyAlignment="1">
      <alignment horizontal="left" vertical="center" shrinkToFit="1"/>
    </xf>
    <xf numFmtId="180" fontId="24" fillId="10" borderId="5" xfId="0" applyNumberFormat="1" applyFont="1" applyFill="1" applyBorder="1" applyAlignment="1">
      <alignment horizontal="center" vertical="center" shrinkToFit="1"/>
    </xf>
    <xf numFmtId="180" fontId="24" fillId="10" borderId="6" xfId="0" applyNumberFormat="1" applyFont="1" applyFill="1" applyBorder="1" applyAlignment="1">
      <alignment horizontal="center" vertical="center" shrinkToFit="1"/>
    </xf>
    <xf numFmtId="180" fontId="24" fillId="10" borderId="3" xfId="0" applyNumberFormat="1" applyFont="1" applyFill="1" applyBorder="1" applyAlignment="1">
      <alignment horizontal="center" vertical="center" shrinkToFit="1"/>
    </xf>
    <xf numFmtId="176" fontId="20" fillId="10" borderId="2" xfId="5" applyFont="1" applyFill="1" applyBorder="1" applyAlignment="1" applyProtection="1">
      <alignment horizontal="center" vertical="center"/>
    </xf>
    <xf numFmtId="0" fontId="20" fillId="10" borderId="2" xfId="0" applyFont="1" applyFill="1" applyBorder="1" applyAlignment="1" applyProtection="1">
      <alignment horizontal="center" vertical="center" shrinkToFit="1"/>
      <protection locked="0"/>
    </xf>
    <xf numFmtId="0" fontId="20" fillId="10" borderId="2" xfId="0" applyFont="1" applyFill="1" applyBorder="1" applyAlignment="1">
      <alignment horizontal="center" vertical="center"/>
    </xf>
    <xf numFmtId="0" fontId="20" fillId="2" borderId="2" xfId="0" applyFont="1" applyFill="1" applyBorder="1" applyAlignment="1" applyProtection="1">
      <alignment horizontal="center" vertical="center"/>
      <protection locked="0"/>
    </xf>
    <xf numFmtId="0" fontId="42" fillId="0" borderId="2" xfId="0" applyFont="1" applyBorder="1" applyAlignment="1">
      <alignment horizontal="left" vertical="center" wrapText="1"/>
    </xf>
    <xf numFmtId="0" fontId="20" fillId="10" borderId="2" xfId="0" applyFont="1" applyFill="1" applyBorder="1" applyAlignment="1" applyProtection="1">
      <alignment horizontal="left" vertical="center"/>
      <protection locked="0"/>
    </xf>
    <xf numFmtId="0" fontId="20" fillId="10" borderId="2" xfId="0" applyFont="1" applyFill="1" applyBorder="1" applyAlignment="1" applyProtection="1">
      <alignment horizontal="left" vertical="top" wrapText="1"/>
      <protection locked="0"/>
    </xf>
    <xf numFmtId="0" fontId="20" fillId="10" borderId="2" xfId="0" applyFont="1" applyFill="1" applyBorder="1" applyAlignment="1" applyProtection="1">
      <alignment horizontal="left" vertical="top" wrapText="1" shrinkToFit="1"/>
      <protection locked="0"/>
    </xf>
    <xf numFmtId="0" fontId="20" fillId="16" borderId="10" xfId="0" applyFont="1" applyFill="1" applyBorder="1" applyAlignment="1">
      <alignment horizontal="center" vertical="center"/>
    </xf>
    <xf numFmtId="0" fontId="20" fillId="2" borderId="5" xfId="0" applyFont="1" applyFill="1" applyBorder="1" applyAlignment="1" applyProtection="1">
      <alignment horizontal="center" vertical="center"/>
      <protection locked="0"/>
    </xf>
    <xf numFmtId="0" fontId="20" fillId="2" borderId="3" xfId="0" applyFont="1" applyFill="1" applyBorder="1" applyAlignment="1" applyProtection="1">
      <alignment horizontal="center" vertical="center"/>
      <protection locked="0"/>
    </xf>
    <xf numFmtId="0" fontId="20" fillId="0" borderId="2" xfId="0" applyFont="1" applyBorder="1" applyAlignment="1" applyProtection="1">
      <alignment horizontal="left" vertical="center"/>
      <protection locked="0"/>
    </xf>
    <xf numFmtId="38" fontId="20" fillId="10" borderId="2" xfId="1" applyFont="1" applyFill="1" applyBorder="1" applyAlignment="1" applyProtection="1">
      <alignment horizontal="right" vertical="center"/>
      <protection locked="0"/>
    </xf>
    <xf numFmtId="189" fontId="20" fillId="10" borderId="2" xfId="0" applyNumberFormat="1" applyFont="1" applyFill="1" applyBorder="1" applyAlignment="1" applyProtection="1">
      <alignment horizontal="center" vertical="center"/>
      <protection locked="0"/>
    </xf>
    <xf numFmtId="9" fontId="24" fillId="10" borderId="2" xfId="4" applyFont="1" applyFill="1" applyBorder="1" applyAlignment="1">
      <alignment horizontal="center" vertical="center" shrinkToFit="1"/>
    </xf>
    <xf numFmtId="184" fontId="24" fillId="10" borderId="12" xfId="4" applyNumberFormat="1" applyFont="1" applyFill="1" applyBorder="1" applyAlignment="1">
      <alignment horizontal="center" vertical="center" shrinkToFit="1"/>
    </xf>
    <xf numFmtId="184" fontId="24" fillId="10" borderId="16" xfId="4" applyNumberFormat="1" applyFont="1" applyFill="1" applyBorder="1" applyAlignment="1">
      <alignment horizontal="center" vertical="center" shrinkToFit="1"/>
    </xf>
    <xf numFmtId="0" fontId="24" fillId="7" borderId="13" xfId="0" applyFont="1" applyFill="1" applyBorder="1" applyAlignment="1">
      <alignment horizontal="center" vertical="center" shrinkToFit="1"/>
    </xf>
    <xf numFmtId="0" fontId="24" fillId="7" borderId="15" xfId="0" applyFont="1" applyFill="1" applyBorder="1" applyAlignment="1">
      <alignment horizontal="center" vertical="center" shrinkToFit="1"/>
    </xf>
    <xf numFmtId="180" fontId="24" fillId="16" borderId="5" xfId="0" applyNumberFormat="1" applyFont="1" applyFill="1" applyBorder="1" applyAlignment="1">
      <alignment horizontal="center" vertical="center" shrinkToFit="1"/>
    </xf>
    <xf numFmtId="180" fontId="24" fillId="16" borderId="3" xfId="0" applyNumberFormat="1" applyFont="1" applyFill="1" applyBorder="1" applyAlignment="1">
      <alignment horizontal="center" vertical="center" shrinkToFit="1"/>
    </xf>
    <xf numFmtId="180" fontId="24" fillId="16" borderId="6" xfId="0" applyNumberFormat="1" applyFont="1" applyFill="1" applyBorder="1" applyAlignment="1">
      <alignment horizontal="center" vertical="center" shrinkToFit="1"/>
    </xf>
    <xf numFmtId="0" fontId="20" fillId="10" borderId="2" xfId="0" applyFont="1" applyFill="1" applyBorder="1" applyAlignment="1" applyProtection="1">
      <alignment horizontal="center" vertical="center"/>
      <protection locked="0"/>
    </xf>
    <xf numFmtId="180" fontId="20" fillId="16" borderId="5" xfId="0" applyNumberFormat="1" applyFont="1" applyFill="1" applyBorder="1" applyAlignment="1">
      <alignment horizontal="center" vertical="center" shrinkToFit="1"/>
    </xf>
    <xf numFmtId="180" fontId="20" fillId="16" borderId="3" xfId="0" applyNumberFormat="1" applyFont="1" applyFill="1" applyBorder="1" applyAlignment="1">
      <alignment horizontal="center" vertical="center" shrinkToFit="1"/>
    </xf>
    <xf numFmtId="38" fontId="20" fillId="10" borderId="2" xfId="1" applyFont="1" applyFill="1" applyBorder="1" applyAlignment="1" applyProtection="1">
      <alignment horizontal="center" vertical="center"/>
      <protection locked="0"/>
    </xf>
    <xf numFmtId="180" fontId="24" fillId="0" borderId="2" xfId="0" applyNumberFormat="1" applyFont="1" applyBorder="1" applyAlignment="1">
      <alignment horizontal="center" vertical="center" shrinkToFit="1"/>
    </xf>
    <xf numFmtId="183" fontId="24" fillId="10" borderId="2" xfId="0" applyNumberFormat="1" applyFont="1" applyFill="1" applyBorder="1" applyAlignment="1" applyProtection="1">
      <alignment horizontal="center" vertical="center" shrinkToFit="1"/>
      <protection locked="0"/>
    </xf>
    <xf numFmtId="180" fontId="24" fillId="10" borderId="2" xfId="0" applyNumberFormat="1" applyFont="1" applyFill="1" applyBorder="1" applyAlignment="1">
      <alignment horizontal="center" vertical="center" shrinkToFit="1"/>
    </xf>
    <xf numFmtId="0" fontId="98" fillId="0" borderId="0" xfId="6" applyFont="1" applyAlignment="1">
      <alignment horizontal="center" vertical="center" shrinkToFit="1"/>
    </xf>
    <xf numFmtId="0" fontId="46" fillId="0" borderId="0" xfId="6" applyFont="1" applyAlignment="1">
      <alignment horizontal="center" vertical="center" shrinkToFit="1"/>
    </xf>
    <xf numFmtId="0" fontId="46" fillId="10" borderId="57" xfId="6" applyFont="1" applyFill="1" applyBorder="1" applyAlignment="1">
      <alignment horizontal="left" vertical="center" indent="1" shrinkToFit="1"/>
    </xf>
    <xf numFmtId="0" fontId="46" fillId="10" borderId="58" xfId="6" applyFont="1" applyFill="1" applyBorder="1" applyAlignment="1">
      <alignment horizontal="left" vertical="center" indent="1" shrinkToFit="1"/>
    </xf>
    <xf numFmtId="0" fontId="46" fillId="10" borderId="59" xfId="6" applyFont="1" applyFill="1" applyBorder="1" applyAlignment="1">
      <alignment horizontal="left" vertical="center" indent="1" shrinkToFit="1"/>
    </xf>
    <xf numFmtId="0" fontId="62" fillId="0" borderId="0" xfId="9" applyFont="1" applyAlignment="1" applyProtection="1">
      <alignment horizontal="center" vertical="center" shrinkToFit="1"/>
    </xf>
    <xf numFmtId="0" fontId="53" fillId="0" borderId="0" xfId="6" applyFont="1" applyAlignment="1">
      <alignment horizontal="left" vertical="top" wrapText="1" shrinkToFit="1"/>
    </xf>
    <xf numFmtId="0" fontId="46" fillId="18" borderId="5" xfId="6" applyFont="1" applyFill="1" applyBorder="1" applyAlignment="1">
      <alignment horizontal="center" vertical="center" shrinkToFit="1"/>
    </xf>
    <xf numFmtId="0" fontId="46" fillId="18" borderId="3" xfId="6" applyFont="1" applyFill="1" applyBorder="1" applyAlignment="1">
      <alignment horizontal="center" vertical="center" shrinkToFit="1"/>
    </xf>
    <xf numFmtId="180" fontId="46" fillId="0" borderId="5" xfId="6" applyNumberFormat="1" applyFont="1" applyBorder="1" applyAlignment="1">
      <alignment horizontal="center" vertical="center" shrinkToFit="1"/>
    </xf>
    <xf numFmtId="180" fontId="46" fillId="0" borderId="3" xfId="6" applyNumberFormat="1" applyFont="1" applyBorder="1" applyAlignment="1">
      <alignment horizontal="center" vertical="center" shrinkToFit="1"/>
    </xf>
    <xf numFmtId="180" fontId="46" fillId="0" borderId="5" xfId="6" applyNumberFormat="1" applyFont="1" applyBorder="1" applyAlignment="1">
      <alignment horizontal="left" vertical="center" shrinkToFit="1"/>
    </xf>
    <xf numFmtId="180" fontId="46" fillId="0" borderId="6" xfId="6" applyNumberFormat="1" applyFont="1" applyBorder="1" applyAlignment="1">
      <alignment horizontal="left" vertical="center" shrinkToFit="1"/>
    </xf>
    <xf numFmtId="180" fontId="46" fillId="0" borderId="3" xfId="6" applyNumberFormat="1" applyFont="1" applyBorder="1" applyAlignment="1">
      <alignment horizontal="left" vertical="center" shrinkToFit="1"/>
    </xf>
    <xf numFmtId="0" fontId="55" fillId="0" borderId="0" xfId="7" applyNumberFormat="1" applyFont="1" applyAlignment="1" applyProtection="1">
      <alignment horizontal="right" vertical="center" shrinkToFit="1"/>
    </xf>
    <xf numFmtId="0" fontId="48" fillId="19" borderId="0" xfId="6" applyFont="1" applyFill="1" applyAlignment="1">
      <alignment horizontal="left" shrinkToFit="1"/>
    </xf>
    <xf numFmtId="180" fontId="47" fillId="0" borderId="0" xfId="6" applyNumberFormat="1" applyFont="1" applyAlignment="1">
      <alignment horizontal="left" shrinkToFit="1"/>
    </xf>
    <xf numFmtId="180" fontId="47" fillId="0" borderId="23" xfId="6" applyNumberFormat="1" applyFont="1" applyBorder="1" applyAlignment="1">
      <alignment horizontal="left" shrinkToFit="1"/>
    </xf>
    <xf numFmtId="0" fontId="52" fillId="0" borderId="24" xfId="7" applyNumberFormat="1" applyFont="1" applyBorder="1" applyAlignment="1" applyProtection="1">
      <alignment horizontal="right" vertical="top" shrinkToFit="1"/>
    </xf>
    <xf numFmtId="0" fontId="52" fillId="0" borderId="0" xfId="7" applyNumberFormat="1" applyFont="1" applyBorder="1" applyAlignment="1" applyProtection="1">
      <alignment horizontal="right" vertical="top" shrinkToFit="1"/>
    </xf>
    <xf numFmtId="0" fontId="56" fillId="19" borderId="65" xfId="6" applyFont="1" applyFill="1" applyBorder="1" applyAlignment="1">
      <alignment horizontal="center" vertical="center" shrinkToFit="1"/>
    </xf>
    <xf numFmtId="0" fontId="56" fillId="19" borderId="66" xfId="6" applyFont="1" applyFill="1" applyBorder="1" applyAlignment="1">
      <alignment horizontal="center" vertical="center" shrinkToFit="1"/>
    </xf>
    <xf numFmtId="0" fontId="56" fillId="19" borderId="67" xfId="6" applyFont="1" applyFill="1" applyBorder="1" applyAlignment="1">
      <alignment horizontal="center" vertical="center" shrinkToFit="1"/>
    </xf>
    <xf numFmtId="180" fontId="55" fillId="0" borderId="28" xfId="6" applyNumberFormat="1" applyFont="1" applyBorder="1" applyAlignment="1">
      <alignment horizontal="right" vertical="top" shrinkToFit="1"/>
    </xf>
    <xf numFmtId="180" fontId="55" fillId="0" borderId="0" xfId="6" applyNumberFormat="1" applyFont="1" applyAlignment="1">
      <alignment horizontal="right" vertical="top" shrinkToFit="1"/>
    </xf>
    <xf numFmtId="0" fontId="53" fillId="2" borderId="65" xfId="6" applyFont="1" applyFill="1" applyBorder="1" applyAlignment="1">
      <alignment horizontal="left" vertical="center" indent="1" shrinkToFit="1"/>
    </xf>
    <xf numFmtId="0" fontId="53" fillId="2" borderId="66" xfId="6" applyFont="1" applyFill="1" applyBorder="1" applyAlignment="1">
      <alignment horizontal="left" vertical="center" indent="1" shrinkToFit="1"/>
    </xf>
    <xf numFmtId="0" fontId="53" fillId="2" borderId="67" xfId="6" applyFont="1" applyFill="1" applyBorder="1" applyAlignment="1">
      <alignment horizontal="left" vertical="center" indent="1" shrinkToFit="1"/>
    </xf>
    <xf numFmtId="0" fontId="59" fillId="21" borderId="52" xfId="6" applyFont="1" applyFill="1" applyBorder="1" applyAlignment="1">
      <alignment horizontal="center" vertical="center" textRotation="255" shrinkToFit="1"/>
    </xf>
    <xf numFmtId="0" fontId="59" fillId="21" borderId="56" xfId="6" applyFont="1" applyFill="1" applyBorder="1" applyAlignment="1">
      <alignment horizontal="center" vertical="center" textRotation="255" shrinkToFit="1"/>
    </xf>
    <xf numFmtId="0" fontId="46" fillId="21" borderId="41" xfId="6" applyFont="1" applyFill="1" applyBorder="1" applyAlignment="1">
      <alignment horizontal="right" vertical="center" indent="1" shrinkToFit="1"/>
    </xf>
    <xf numFmtId="0" fontId="46" fillId="21" borderId="42" xfId="6" applyFont="1" applyFill="1" applyBorder="1" applyAlignment="1">
      <alignment horizontal="right" vertical="center" indent="1" shrinkToFit="1"/>
    </xf>
    <xf numFmtId="0" fontId="46" fillId="21" borderId="126" xfId="6" applyFont="1" applyFill="1" applyBorder="1" applyAlignment="1">
      <alignment horizontal="right" vertical="center" indent="1" shrinkToFit="1"/>
    </xf>
    <xf numFmtId="0" fontId="46" fillId="22" borderId="65" xfId="6" applyFont="1" applyFill="1" applyBorder="1" applyAlignment="1">
      <alignment horizontal="right" vertical="center" indent="1" shrinkToFit="1"/>
    </xf>
    <xf numFmtId="0" fontId="46" fillId="22" borderId="66" xfId="6" applyFont="1" applyFill="1" applyBorder="1" applyAlignment="1">
      <alignment horizontal="right" vertical="center" indent="1" shrinkToFit="1"/>
    </xf>
    <xf numFmtId="0" fontId="46" fillId="22" borderId="67" xfId="6" applyFont="1" applyFill="1" applyBorder="1" applyAlignment="1">
      <alignment horizontal="right" vertical="center" indent="1" shrinkToFit="1"/>
    </xf>
    <xf numFmtId="0" fontId="46" fillId="7" borderId="65" xfId="6" applyFont="1" applyFill="1" applyBorder="1" applyAlignment="1">
      <alignment horizontal="right" vertical="center" indent="1" shrinkToFit="1"/>
    </xf>
    <xf numFmtId="0" fontId="46" fillId="7" borderId="66" xfId="6" applyFont="1" applyFill="1" applyBorder="1" applyAlignment="1">
      <alignment horizontal="right" vertical="center" indent="1" shrinkToFit="1"/>
    </xf>
    <xf numFmtId="0" fontId="46" fillId="7" borderId="67" xfId="6" applyFont="1" applyFill="1" applyBorder="1" applyAlignment="1">
      <alignment horizontal="right" vertical="center" indent="1" shrinkToFit="1"/>
    </xf>
    <xf numFmtId="0" fontId="46" fillId="10" borderId="53" xfId="6" applyFont="1" applyFill="1" applyBorder="1" applyAlignment="1">
      <alignment horizontal="left" vertical="center" indent="1" shrinkToFit="1"/>
    </xf>
    <xf numFmtId="0" fontId="46" fillId="10" borderId="54" xfId="6" applyFont="1" applyFill="1" applyBorder="1" applyAlignment="1">
      <alignment horizontal="left" vertical="center" indent="1" shrinkToFit="1"/>
    </xf>
    <xf numFmtId="0" fontId="46" fillId="10" borderId="55" xfId="6" applyFont="1" applyFill="1" applyBorder="1" applyAlignment="1">
      <alignment horizontal="left" vertical="center" indent="1" shrinkToFit="1"/>
    </xf>
    <xf numFmtId="0" fontId="46" fillId="10" borderId="19" xfId="6" applyFont="1" applyFill="1" applyBorder="1" applyAlignment="1">
      <alignment horizontal="left" vertical="center" indent="1" shrinkToFit="1"/>
    </xf>
    <xf numFmtId="0" fontId="46" fillId="10" borderId="20" xfId="6" applyFont="1" applyFill="1" applyBorder="1" applyAlignment="1">
      <alignment horizontal="left" vertical="center" indent="1" shrinkToFit="1"/>
    </xf>
    <xf numFmtId="0" fontId="46" fillId="10" borderId="21" xfId="6" applyFont="1" applyFill="1" applyBorder="1" applyAlignment="1">
      <alignment horizontal="left" vertical="center" indent="1" shrinkToFit="1"/>
    </xf>
    <xf numFmtId="0" fontId="66" fillId="0" borderId="0" xfId="6" applyFont="1" applyAlignment="1">
      <alignment horizontal="left" vertical="top" wrapText="1" shrinkToFit="1"/>
    </xf>
    <xf numFmtId="0" fontId="46" fillId="10" borderId="187" xfId="6" applyFont="1" applyFill="1" applyBorder="1" applyAlignment="1">
      <alignment horizontal="left" vertical="center" indent="1" shrinkToFit="1"/>
    </xf>
    <xf numFmtId="0" fontId="46" fillId="10" borderId="188" xfId="6" applyFont="1" applyFill="1" applyBorder="1" applyAlignment="1">
      <alignment horizontal="left" vertical="center" indent="1" shrinkToFit="1"/>
    </xf>
    <xf numFmtId="0" fontId="46" fillId="10" borderId="189" xfId="6" applyFont="1" applyFill="1" applyBorder="1" applyAlignment="1">
      <alignment horizontal="left" vertical="center" indent="1" shrinkToFit="1"/>
    </xf>
    <xf numFmtId="0" fontId="53" fillId="24" borderId="170" xfId="6" applyFont="1" applyFill="1" applyBorder="1" applyAlignment="1">
      <alignment horizontal="right" vertical="center" indent="1" shrinkToFit="1"/>
    </xf>
    <xf numFmtId="0" fontId="53" fillId="24" borderId="171" xfId="6" applyFont="1" applyFill="1" applyBorder="1" applyAlignment="1">
      <alignment horizontal="right" vertical="center" indent="1" shrinkToFit="1"/>
    </xf>
    <xf numFmtId="0" fontId="53" fillId="24" borderId="172" xfId="6" applyFont="1" applyFill="1" applyBorder="1" applyAlignment="1">
      <alignment horizontal="right" vertical="center" indent="1" shrinkToFit="1"/>
    </xf>
    <xf numFmtId="0" fontId="59" fillId="21" borderId="183" xfId="6" applyFont="1" applyFill="1" applyBorder="1" applyAlignment="1">
      <alignment horizontal="center" vertical="center" textRotation="255" shrinkToFit="1"/>
    </xf>
    <xf numFmtId="0" fontId="46" fillId="10" borderId="180" xfId="6" applyFont="1" applyFill="1" applyBorder="1" applyAlignment="1">
      <alignment horizontal="left" vertical="center" indent="1" shrinkToFit="1"/>
    </xf>
    <xf numFmtId="0" fontId="46" fillId="10" borderId="181" xfId="6" applyFont="1" applyFill="1" applyBorder="1" applyAlignment="1">
      <alignment horizontal="left" vertical="center" indent="1" shrinkToFit="1"/>
    </xf>
    <xf numFmtId="0" fontId="46" fillId="10" borderId="182" xfId="6" applyFont="1" applyFill="1" applyBorder="1" applyAlignment="1">
      <alignment horizontal="left" vertical="center" indent="1" shrinkToFit="1"/>
    </xf>
    <xf numFmtId="0" fontId="58" fillId="14" borderId="65" xfId="6" applyFont="1" applyFill="1" applyBorder="1" applyAlignment="1">
      <alignment horizontal="right" vertical="center" indent="1" shrinkToFit="1"/>
    </xf>
    <xf numFmtId="0" fontId="58" fillId="14" borderId="66" xfId="6" applyFont="1" applyFill="1" applyBorder="1" applyAlignment="1">
      <alignment horizontal="right" vertical="center" indent="1" shrinkToFit="1"/>
    </xf>
    <xf numFmtId="0" fontId="58" fillId="14" borderId="67" xfId="6" applyFont="1" applyFill="1" applyBorder="1" applyAlignment="1">
      <alignment horizontal="right" vertical="center" indent="1" shrinkToFit="1"/>
    </xf>
    <xf numFmtId="184" fontId="67" fillId="0" borderId="28" xfId="7" applyNumberFormat="1" applyFont="1" applyBorder="1" applyAlignment="1" applyProtection="1">
      <alignment horizontal="left" wrapText="1" shrinkToFit="1"/>
    </xf>
    <xf numFmtId="184" fontId="67" fillId="0" borderId="0" xfId="7" applyNumberFormat="1" applyFont="1" applyBorder="1" applyAlignment="1" applyProtection="1">
      <alignment horizontal="left" wrapText="1" shrinkToFit="1"/>
    </xf>
    <xf numFmtId="184" fontId="67" fillId="0" borderId="41" xfId="7" applyNumberFormat="1" applyFont="1" applyBorder="1" applyAlignment="1" applyProtection="1">
      <alignment horizontal="left" wrapText="1" shrinkToFit="1"/>
    </xf>
    <xf numFmtId="184" fontId="67" fillId="0" borderId="42" xfId="7" applyNumberFormat="1" applyFont="1" applyBorder="1" applyAlignment="1" applyProtection="1">
      <alignment horizontal="left" wrapText="1" shrinkToFit="1"/>
    </xf>
    <xf numFmtId="0" fontId="46" fillId="21" borderId="184" xfId="6" applyFont="1" applyFill="1" applyBorder="1" applyAlignment="1">
      <alignment horizontal="right" vertical="center" indent="1" shrinkToFit="1"/>
    </xf>
    <xf numFmtId="0" fontId="46" fillId="21" borderId="185" xfId="6" applyFont="1" applyFill="1" applyBorder="1" applyAlignment="1">
      <alignment horizontal="right" vertical="center" indent="1" shrinkToFit="1"/>
    </xf>
    <xf numFmtId="0" fontId="46" fillId="21" borderId="186" xfId="6" applyFont="1" applyFill="1" applyBorder="1" applyAlignment="1">
      <alignment horizontal="right" vertical="center" indent="1" shrinkToFit="1"/>
    </xf>
    <xf numFmtId="0" fontId="59" fillId="21" borderId="33" xfId="6" applyFont="1" applyFill="1" applyBorder="1" applyAlignment="1">
      <alignment horizontal="center" vertical="center" textRotation="255" shrinkToFit="1"/>
    </xf>
    <xf numFmtId="0" fontId="59" fillId="21" borderId="28" xfId="6" applyFont="1" applyFill="1" applyBorder="1" applyAlignment="1">
      <alignment horizontal="center" vertical="center" textRotation="255" shrinkToFit="1"/>
    </xf>
    <xf numFmtId="0" fontId="97" fillId="5" borderId="5" xfId="6" applyFont="1" applyFill="1" applyBorder="1" applyAlignment="1">
      <alignment horizontal="right" vertical="center" indent="1" shrinkToFit="1"/>
    </xf>
    <xf numFmtId="0" fontId="97" fillId="5" borderId="6" xfId="6" applyFont="1" applyFill="1" applyBorder="1" applyAlignment="1">
      <alignment horizontal="right" vertical="center" indent="1" shrinkToFit="1"/>
    </xf>
    <xf numFmtId="0" fontId="97" fillId="5" borderId="3" xfId="6" applyFont="1" applyFill="1" applyBorder="1" applyAlignment="1">
      <alignment horizontal="right" vertical="center" indent="1" shrinkToFit="1"/>
    </xf>
    <xf numFmtId="0" fontId="52" fillId="0" borderId="0" xfId="7" applyNumberFormat="1" applyFont="1" applyBorder="1" applyAlignment="1" applyProtection="1">
      <alignment horizontal="right" shrinkToFit="1"/>
    </xf>
    <xf numFmtId="0" fontId="53" fillId="0" borderId="170" xfId="6" applyFont="1" applyBorder="1" applyAlignment="1">
      <alignment horizontal="right" vertical="center" indent="1" shrinkToFit="1"/>
    </xf>
    <xf numFmtId="0" fontId="53" fillId="0" borderId="171" xfId="6" applyFont="1" applyBorder="1" applyAlignment="1">
      <alignment horizontal="right" vertical="center" indent="1" shrinkToFit="1"/>
    </xf>
    <xf numFmtId="0" fontId="53" fillId="0" borderId="172" xfId="6" applyFont="1" applyBorder="1" applyAlignment="1">
      <alignment horizontal="right" vertical="center" indent="1" shrinkToFit="1"/>
    </xf>
    <xf numFmtId="0" fontId="53" fillId="2" borderId="176" xfId="6" applyFont="1" applyFill="1" applyBorder="1" applyAlignment="1">
      <alignment horizontal="center" vertical="center" shrinkToFit="1"/>
    </xf>
    <xf numFmtId="0" fontId="53" fillId="2" borderId="177" xfId="6" applyFont="1" applyFill="1" applyBorder="1" applyAlignment="1">
      <alignment horizontal="center" vertical="center" shrinkToFit="1"/>
    </xf>
    <xf numFmtId="0" fontId="53" fillId="2" borderId="178" xfId="6" applyFont="1" applyFill="1" applyBorder="1" applyAlignment="1">
      <alignment horizontal="center" vertical="center" shrinkToFit="1"/>
    </xf>
    <xf numFmtId="0" fontId="53" fillId="2" borderId="179" xfId="6" applyFont="1" applyFill="1" applyBorder="1" applyAlignment="1">
      <alignment horizontal="center" vertical="center" shrinkToFit="1"/>
    </xf>
    <xf numFmtId="0" fontId="53" fillId="2" borderId="4" xfId="6" applyFont="1" applyFill="1" applyBorder="1" applyAlignment="1">
      <alignment horizontal="center" vertical="center" shrinkToFit="1"/>
    </xf>
    <xf numFmtId="0" fontId="53" fillId="2" borderId="115" xfId="6" applyFont="1" applyFill="1" applyBorder="1" applyAlignment="1">
      <alignment horizontal="center" vertical="center" shrinkToFit="1"/>
    </xf>
    <xf numFmtId="0" fontId="46" fillId="10" borderId="33" xfId="6" applyFont="1" applyFill="1" applyBorder="1" applyAlignment="1" applyProtection="1">
      <alignment horizontal="left" vertical="top" shrinkToFit="1"/>
      <protection locked="0"/>
    </xf>
    <xf numFmtId="0" fontId="46" fillId="10" borderId="76" xfId="6" applyFont="1" applyFill="1" applyBorder="1" applyAlignment="1" applyProtection="1">
      <alignment horizontal="left" vertical="top" shrinkToFit="1"/>
      <protection locked="0"/>
    </xf>
    <xf numFmtId="0" fontId="46" fillId="10" borderId="92" xfId="6" applyFont="1" applyFill="1" applyBorder="1" applyAlignment="1" applyProtection="1">
      <alignment horizontal="left" vertical="top" shrinkToFit="1"/>
      <protection locked="0"/>
    </xf>
    <xf numFmtId="0" fontId="46" fillId="10" borderId="28" xfId="6" applyFont="1" applyFill="1" applyBorder="1" applyAlignment="1" applyProtection="1">
      <alignment horizontal="left" vertical="top" shrinkToFit="1"/>
      <protection locked="0"/>
    </xf>
    <xf numFmtId="0" fontId="46" fillId="10" borderId="0" xfId="6" applyFont="1" applyFill="1" applyAlignment="1" applyProtection="1">
      <alignment horizontal="left" vertical="top" shrinkToFit="1"/>
      <protection locked="0"/>
    </xf>
    <xf numFmtId="0" fontId="46" fillId="10" borderId="95" xfId="6" applyFont="1" applyFill="1" applyBorder="1" applyAlignment="1" applyProtection="1">
      <alignment horizontal="left" vertical="top" shrinkToFit="1"/>
      <protection locked="0"/>
    </xf>
    <xf numFmtId="0" fontId="46" fillId="10" borderId="41" xfId="6" applyFont="1" applyFill="1" applyBorder="1" applyAlignment="1" applyProtection="1">
      <alignment horizontal="left" vertical="top" shrinkToFit="1"/>
      <protection locked="0"/>
    </xf>
    <xf numFmtId="0" fontId="46" fillId="10" borderId="42" xfId="6" applyFont="1" applyFill="1" applyBorder="1" applyAlignment="1" applyProtection="1">
      <alignment horizontal="left" vertical="top" shrinkToFit="1"/>
      <protection locked="0"/>
    </xf>
    <xf numFmtId="0" fontId="46" fillId="10" borderId="99" xfId="6" applyFont="1" applyFill="1" applyBorder="1" applyAlignment="1" applyProtection="1">
      <alignment horizontal="left" vertical="top" shrinkToFit="1"/>
      <protection locked="0"/>
    </xf>
    <xf numFmtId="0" fontId="58" fillId="24" borderId="173" xfId="6" applyFont="1" applyFill="1" applyBorder="1" applyAlignment="1">
      <alignment horizontal="right" vertical="center" indent="1" shrinkToFit="1"/>
    </xf>
    <xf numFmtId="0" fontId="58" fillId="24" borderId="174" xfId="6" applyFont="1" applyFill="1" applyBorder="1" applyAlignment="1">
      <alignment horizontal="right" vertical="center" indent="1" shrinkToFit="1"/>
    </xf>
    <xf numFmtId="0" fontId="58" fillId="24" borderId="175" xfId="6" applyFont="1" applyFill="1" applyBorder="1" applyAlignment="1">
      <alignment horizontal="right" vertical="center" indent="1" shrinkToFit="1"/>
    </xf>
    <xf numFmtId="0" fontId="58" fillId="24" borderId="170" xfId="6" applyFont="1" applyFill="1" applyBorder="1" applyAlignment="1">
      <alignment horizontal="right" vertical="center" indent="1" shrinkToFit="1"/>
    </xf>
    <xf numFmtId="0" fontId="58" fillId="24" borderId="171" xfId="6" applyFont="1" applyFill="1" applyBorder="1" applyAlignment="1">
      <alignment horizontal="right" vertical="center" indent="1" shrinkToFit="1"/>
    </xf>
    <xf numFmtId="0" fontId="58" fillId="24" borderId="172" xfId="6" applyFont="1" applyFill="1" applyBorder="1" applyAlignment="1">
      <alignment horizontal="right" vertical="center" indent="1" shrinkToFit="1"/>
    </xf>
    <xf numFmtId="0" fontId="46" fillId="10" borderId="36" xfId="6" applyFont="1" applyFill="1" applyBorder="1" applyAlignment="1">
      <alignment horizontal="left" vertical="center" indent="1" shrinkToFit="1"/>
    </xf>
    <xf numFmtId="0" fontId="53" fillId="0" borderId="0" xfId="6" applyFont="1" applyAlignment="1">
      <alignment horizontal="left" vertical="top" shrinkToFit="1"/>
    </xf>
    <xf numFmtId="0" fontId="46" fillId="18" borderId="2" xfId="6" applyFont="1" applyFill="1" applyBorder="1" applyAlignment="1">
      <alignment horizontal="center" vertical="center" shrinkToFit="1"/>
    </xf>
    <xf numFmtId="180" fontId="46" fillId="0" borderId="2" xfId="6" applyNumberFormat="1" applyFont="1" applyBorder="1" applyAlignment="1">
      <alignment horizontal="center" vertical="center" shrinkToFit="1"/>
    </xf>
    <xf numFmtId="180" fontId="46" fillId="0" borderId="2" xfId="6" applyNumberFormat="1" applyFont="1" applyBorder="1" applyAlignment="1">
      <alignment horizontal="left" vertical="center" shrinkToFit="1"/>
    </xf>
    <xf numFmtId="0" fontId="48" fillId="15" borderId="0" xfId="6" applyFont="1" applyFill="1" applyAlignment="1">
      <alignment horizontal="left" shrinkToFit="1"/>
    </xf>
    <xf numFmtId="0" fontId="52" fillId="0" borderId="0" xfId="7" applyNumberFormat="1" applyFont="1" applyAlignment="1" applyProtection="1">
      <alignment horizontal="right" vertical="top" shrinkToFit="1"/>
    </xf>
    <xf numFmtId="0" fontId="56" fillId="19" borderId="25" xfId="6" applyFont="1" applyFill="1" applyBorder="1" applyAlignment="1">
      <alignment horizontal="center" vertical="center" shrinkToFit="1"/>
    </xf>
    <xf numFmtId="0" fontId="56" fillId="19" borderId="26" xfId="6" applyFont="1" applyFill="1" applyBorder="1" applyAlignment="1">
      <alignment horizontal="center" vertical="center" shrinkToFit="1"/>
    </xf>
    <xf numFmtId="0" fontId="53" fillId="2" borderId="29" xfId="6" applyFont="1" applyFill="1" applyBorder="1" applyAlignment="1">
      <alignment horizontal="left" vertical="center" indent="1" shrinkToFit="1"/>
    </xf>
    <xf numFmtId="0" fontId="53" fillId="2" borderId="30" xfId="6" applyFont="1" applyFill="1" applyBorder="1" applyAlignment="1">
      <alignment horizontal="left" vertical="center" indent="1" shrinkToFit="1"/>
    </xf>
    <xf numFmtId="0" fontId="46" fillId="22" borderId="25" xfId="6" applyFont="1" applyFill="1" applyBorder="1" applyAlignment="1">
      <alignment horizontal="right" vertical="center" indent="1" shrinkToFit="1"/>
    </xf>
    <xf numFmtId="0" fontId="46" fillId="22" borderId="26" xfId="6" applyFont="1" applyFill="1" applyBorder="1" applyAlignment="1">
      <alignment horizontal="right" vertical="center" indent="1" shrinkToFit="1"/>
    </xf>
    <xf numFmtId="0" fontId="46" fillId="7" borderId="25" xfId="6" applyFont="1" applyFill="1" applyBorder="1" applyAlignment="1">
      <alignment horizontal="right" vertical="center" indent="1" shrinkToFit="1"/>
    </xf>
    <xf numFmtId="0" fontId="46" fillId="7" borderId="26" xfId="6" applyFont="1" applyFill="1" applyBorder="1" applyAlignment="1">
      <alignment horizontal="right" vertical="center" indent="1" shrinkToFit="1"/>
    </xf>
    <xf numFmtId="0" fontId="46" fillId="10" borderId="49" xfId="6" applyFont="1" applyFill="1" applyBorder="1" applyAlignment="1">
      <alignment horizontal="left" vertical="center" indent="1" shrinkToFit="1"/>
    </xf>
    <xf numFmtId="0" fontId="46" fillId="10" borderId="60" xfId="6" applyFont="1" applyFill="1" applyBorder="1" applyAlignment="1">
      <alignment horizontal="left" vertical="center" indent="1" shrinkToFit="1"/>
    </xf>
    <xf numFmtId="0" fontId="46" fillId="10" borderId="61" xfId="6" applyFont="1" applyFill="1" applyBorder="1" applyAlignment="1">
      <alignment horizontal="left" vertical="center" indent="1" shrinkToFit="1"/>
    </xf>
    <xf numFmtId="0" fontId="46" fillId="10" borderId="62" xfId="6" applyFont="1" applyFill="1" applyBorder="1" applyAlignment="1">
      <alignment horizontal="left" vertical="center" indent="1" shrinkToFit="1"/>
    </xf>
    <xf numFmtId="0" fontId="46" fillId="10" borderId="16" xfId="6" applyFont="1" applyFill="1" applyBorder="1" applyAlignment="1">
      <alignment horizontal="left" vertical="center" indent="1" shrinkToFit="1"/>
    </xf>
    <xf numFmtId="0" fontId="46" fillId="10" borderId="12" xfId="6" applyFont="1" applyFill="1" applyBorder="1" applyAlignment="1">
      <alignment horizontal="left" vertical="center" indent="1" shrinkToFit="1"/>
    </xf>
    <xf numFmtId="0" fontId="66" fillId="0" borderId="0" xfId="6" applyFont="1" applyAlignment="1">
      <alignment horizontal="left" vertical="top" shrinkToFit="1"/>
    </xf>
    <xf numFmtId="0" fontId="53" fillId="24" borderId="73" xfId="6" applyFont="1" applyFill="1" applyBorder="1" applyAlignment="1">
      <alignment horizontal="right" vertical="center" indent="1" shrinkToFit="1"/>
    </xf>
    <xf numFmtId="0" fontId="53" fillId="24" borderId="74" xfId="6" applyFont="1" applyFill="1" applyBorder="1" applyAlignment="1">
      <alignment horizontal="right" vertical="center" indent="1" shrinkToFit="1"/>
    </xf>
    <xf numFmtId="0" fontId="59" fillId="21" borderId="77" xfId="6" applyFont="1" applyFill="1" applyBorder="1" applyAlignment="1">
      <alignment horizontal="center" vertical="center" textRotation="255" shrinkToFit="1"/>
    </xf>
    <xf numFmtId="0" fontId="59" fillId="21" borderId="81" xfId="6" applyFont="1" applyFill="1" applyBorder="1" applyAlignment="1">
      <alignment horizontal="center" vertical="center" textRotation="255" shrinkToFit="1"/>
    </xf>
    <xf numFmtId="0" fontId="59" fillId="21" borderId="83" xfId="6" applyFont="1" applyFill="1" applyBorder="1" applyAlignment="1">
      <alignment horizontal="center" vertical="center" textRotation="255" shrinkToFit="1"/>
    </xf>
    <xf numFmtId="184" fontId="67" fillId="0" borderId="0" xfId="7" applyNumberFormat="1" applyFont="1" applyAlignment="1" applyProtection="1">
      <alignment horizontal="left" shrinkToFit="1"/>
    </xf>
    <xf numFmtId="184" fontId="67" fillId="0" borderId="41" xfId="7" applyNumberFormat="1" applyFont="1" applyBorder="1" applyAlignment="1" applyProtection="1">
      <alignment horizontal="left" shrinkToFit="1"/>
    </xf>
    <xf numFmtId="184" fontId="67" fillId="0" borderId="42" xfId="7" applyNumberFormat="1" applyFont="1" applyBorder="1" applyAlignment="1" applyProtection="1">
      <alignment horizontal="left" shrinkToFit="1"/>
    </xf>
    <xf numFmtId="0" fontId="46" fillId="21" borderId="28" xfId="6" applyFont="1" applyFill="1" applyBorder="1" applyAlignment="1">
      <alignment horizontal="right" vertical="center" indent="1" shrinkToFit="1"/>
    </xf>
    <xf numFmtId="0" fontId="46" fillId="21" borderId="0" xfId="6" applyFont="1" applyFill="1" applyAlignment="1">
      <alignment horizontal="right" vertical="center" indent="1" shrinkToFit="1"/>
    </xf>
    <xf numFmtId="0" fontId="53" fillId="2" borderId="88" xfId="6" applyFont="1" applyFill="1" applyBorder="1" applyAlignment="1">
      <alignment horizontal="center" vertical="center" shrinkToFit="1"/>
    </xf>
    <xf numFmtId="0" fontId="53" fillId="2" borderId="89" xfId="6" applyFont="1" applyFill="1" applyBorder="1" applyAlignment="1">
      <alignment horizontal="center" vertical="center" shrinkToFit="1"/>
    </xf>
    <xf numFmtId="0" fontId="53" fillId="2" borderId="93" xfId="6" applyFont="1" applyFill="1" applyBorder="1" applyAlignment="1">
      <alignment horizontal="center" vertical="center" shrinkToFit="1"/>
    </xf>
    <xf numFmtId="0" fontId="53" fillId="2" borderId="2" xfId="6" applyFont="1" applyFill="1" applyBorder="1" applyAlignment="1">
      <alignment horizontal="center" vertical="center" shrinkToFit="1"/>
    </xf>
    <xf numFmtId="0" fontId="58" fillId="24" borderId="96" xfId="6" applyFont="1" applyFill="1" applyBorder="1" applyAlignment="1">
      <alignment horizontal="right" vertical="center" indent="1" shrinkToFit="1"/>
    </xf>
    <xf numFmtId="0" fontId="58" fillId="24" borderId="97" xfId="6" applyFont="1" applyFill="1" applyBorder="1" applyAlignment="1">
      <alignment horizontal="right" vertical="center" indent="1" shrinkToFit="1"/>
    </xf>
    <xf numFmtId="0" fontId="58" fillId="24" borderId="73" xfId="6" applyFont="1" applyFill="1" applyBorder="1" applyAlignment="1">
      <alignment horizontal="right" vertical="center" indent="1" shrinkToFit="1"/>
    </xf>
    <xf numFmtId="0" fontId="58" fillId="24" borderId="74" xfId="6" applyFont="1" applyFill="1" applyBorder="1" applyAlignment="1">
      <alignment horizontal="right" vertical="center" indent="1" shrinkToFit="1"/>
    </xf>
    <xf numFmtId="0" fontId="46" fillId="21" borderId="29" xfId="6" applyFont="1" applyFill="1" applyBorder="1" applyAlignment="1">
      <alignment horizontal="right" vertical="center" indent="1" shrinkToFit="1"/>
    </xf>
    <xf numFmtId="0" fontId="46" fillId="21" borderId="30" xfId="6" applyFont="1" applyFill="1" applyBorder="1" applyAlignment="1">
      <alignment horizontal="right" vertical="center" indent="1" shrinkToFit="1"/>
    </xf>
    <xf numFmtId="0" fontId="97" fillId="5" borderId="2" xfId="6" applyFont="1" applyFill="1" applyBorder="1" applyAlignment="1">
      <alignment horizontal="right" vertical="center" indent="1" shrinkToFit="1"/>
    </xf>
    <xf numFmtId="0" fontId="52" fillId="0" borderId="24" xfId="7" applyNumberFormat="1" applyFont="1" applyBorder="1" applyAlignment="1" applyProtection="1">
      <alignment horizontal="right" shrinkToFit="1"/>
    </xf>
    <xf numFmtId="0" fontId="52" fillId="0" borderId="0" xfId="7" applyNumberFormat="1" applyFont="1" applyAlignment="1" applyProtection="1">
      <alignment horizontal="right" shrinkToFit="1"/>
    </xf>
    <xf numFmtId="0" fontId="53" fillId="0" borderId="73" xfId="6" applyFont="1" applyBorder="1" applyAlignment="1">
      <alignment horizontal="right" vertical="center" indent="1" shrinkToFit="1"/>
    </xf>
    <xf numFmtId="0" fontId="53" fillId="0" borderId="74" xfId="6" applyFont="1" applyBorder="1" applyAlignment="1">
      <alignment horizontal="right" vertical="center" indent="1" shrinkToFit="1"/>
    </xf>
    <xf numFmtId="49" fontId="36" fillId="4" borderId="65" xfId="13" applyNumberFormat="1" applyFont="1" applyFill="1" applyBorder="1" applyAlignment="1">
      <alignment horizontal="center" vertical="center" shrinkToFit="1"/>
    </xf>
    <xf numFmtId="49" fontId="36" fillId="4" borderId="48" xfId="13" applyNumberFormat="1" applyFont="1" applyFill="1" applyBorder="1" applyAlignment="1">
      <alignment horizontal="center" vertical="center" shrinkToFit="1"/>
    </xf>
    <xf numFmtId="49" fontId="36" fillId="31" borderId="65" xfId="13" applyNumberFormat="1" applyFont="1" applyFill="1" applyBorder="1" applyAlignment="1">
      <alignment horizontal="center" vertical="center" shrinkToFit="1"/>
    </xf>
    <xf numFmtId="49" fontId="36" fillId="31" borderId="66" xfId="13" applyNumberFormat="1" applyFont="1" applyFill="1" applyBorder="1" applyAlignment="1">
      <alignment horizontal="center" vertical="center" shrinkToFit="1"/>
    </xf>
    <xf numFmtId="49" fontId="36" fillId="31" borderId="48" xfId="13" applyNumberFormat="1" applyFont="1" applyFill="1" applyBorder="1" applyAlignment="1">
      <alignment horizontal="center" vertical="center" shrinkToFit="1"/>
    </xf>
    <xf numFmtId="49" fontId="36" fillId="33" borderId="65" xfId="13" applyNumberFormat="1" applyFont="1" applyFill="1" applyBorder="1" applyAlignment="1">
      <alignment horizontal="center" vertical="center" shrinkToFit="1"/>
    </xf>
    <xf numFmtId="49" fontId="36" fillId="33" borderId="66" xfId="13" applyNumberFormat="1" applyFont="1" applyFill="1" applyBorder="1" applyAlignment="1">
      <alignment horizontal="center" vertical="center" shrinkToFit="1"/>
    </xf>
    <xf numFmtId="49" fontId="36" fillId="32" borderId="65" xfId="13" applyNumberFormat="1" applyFont="1" applyFill="1" applyBorder="1" applyAlignment="1">
      <alignment horizontal="center" vertical="center" shrinkToFit="1"/>
    </xf>
    <xf numFmtId="49" fontId="36" fillId="32" borderId="48" xfId="13" applyNumberFormat="1" applyFont="1" applyFill="1" applyBorder="1" applyAlignment="1">
      <alignment horizontal="center" vertical="center" shrinkToFit="1"/>
    </xf>
    <xf numFmtId="0" fontId="36" fillId="30" borderId="150" xfId="11" applyFont="1" applyFill="1" applyBorder="1" applyAlignment="1">
      <alignment horizontal="center" vertical="center" shrinkToFit="1"/>
    </xf>
    <xf numFmtId="0" fontId="36" fillId="30" borderId="149" xfId="11" applyFont="1" applyFill="1" applyBorder="1" applyAlignment="1">
      <alignment horizontal="center" vertical="center" shrinkToFit="1"/>
    </xf>
    <xf numFmtId="0" fontId="36" fillId="30" borderId="143" xfId="16" applyNumberFormat="1" applyFont="1" applyFill="1" applyBorder="1" applyAlignment="1" applyProtection="1">
      <alignment horizontal="center" vertical="center" shrinkToFit="1"/>
    </xf>
    <xf numFmtId="0" fontId="36" fillId="30" borderId="149" xfId="16" applyNumberFormat="1" applyFont="1" applyFill="1" applyBorder="1" applyAlignment="1" applyProtection="1">
      <alignment horizontal="center" vertical="center" shrinkToFit="1"/>
    </xf>
    <xf numFmtId="0" fontId="36" fillId="30" borderId="147" xfId="11" applyFont="1" applyFill="1" applyBorder="1" applyAlignment="1">
      <alignment horizontal="center" vertical="center" shrinkToFit="1"/>
    </xf>
    <xf numFmtId="0" fontId="36" fillId="30" borderId="76" xfId="11" applyFont="1" applyFill="1" applyBorder="1" applyAlignment="1">
      <alignment horizontal="center" vertical="center" shrinkToFit="1"/>
    </xf>
    <xf numFmtId="0" fontId="36" fillId="30" borderId="0" xfId="11" applyFont="1" applyFill="1" applyAlignment="1">
      <alignment horizontal="center" vertical="center" shrinkToFit="1"/>
    </xf>
    <xf numFmtId="0" fontId="36" fillId="30" borderId="143" xfId="13" applyFont="1" applyFill="1" applyBorder="1" applyAlignment="1">
      <alignment horizontal="center" vertical="center" shrinkToFit="1"/>
    </xf>
    <xf numFmtId="0" fontId="36" fillId="30" borderId="149" xfId="13" applyFont="1" applyFill="1" applyBorder="1" applyAlignment="1">
      <alignment horizontal="center" vertical="center" shrinkToFit="1"/>
    </xf>
    <xf numFmtId="0" fontId="36" fillId="0" borderId="134" xfId="11" applyFont="1" applyBorder="1" applyAlignment="1">
      <alignment horizontal="center" vertical="center" shrinkToFit="1"/>
    </xf>
    <xf numFmtId="0" fontId="36" fillId="0" borderId="130" xfId="11" applyFont="1" applyBorder="1" applyAlignment="1">
      <alignment horizontal="center" vertical="center" shrinkToFit="1"/>
    </xf>
    <xf numFmtId="0" fontId="36" fillId="0" borderId="28" xfId="11" applyFont="1" applyBorder="1" applyAlignment="1">
      <alignment horizontal="center" vertical="center" shrinkToFit="1"/>
    </xf>
    <xf numFmtId="0" fontId="36" fillId="0" borderId="124" xfId="11" applyFont="1" applyBorder="1" applyAlignment="1">
      <alignment horizontal="center" vertical="center" shrinkToFit="1"/>
    </xf>
    <xf numFmtId="0" fontId="36" fillId="0" borderId="150" xfId="11" applyFont="1" applyBorder="1" applyAlignment="1">
      <alignment horizontal="center" vertical="center" shrinkToFit="1"/>
    </xf>
    <xf numFmtId="0" fontId="36" fillId="0" borderId="149" xfId="11" applyFont="1" applyBorder="1" applyAlignment="1">
      <alignment horizontal="center" vertical="center" shrinkToFit="1"/>
    </xf>
    <xf numFmtId="176" fontId="36" fillId="0" borderId="143" xfId="5" applyFont="1" applyBorder="1" applyAlignment="1" applyProtection="1">
      <alignment horizontal="center" vertical="center" shrinkToFit="1"/>
    </xf>
    <xf numFmtId="176" fontId="36" fillId="0" borderId="149" xfId="5" applyFont="1" applyBorder="1" applyAlignment="1" applyProtection="1">
      <alignment horizontal="center" vertical="center" shrinkToFit="1"/>
    </xf>
    <xf numFmtId="0" fontId="36" fillId="0" borderId="147" xfId="11" applyFont="1" applyBorder="1" applyAlignment="1">
      <alignment horizontal="center" vertical="center" shrinkToFit="1"/>
    </xf>
    <xf numFmtId="0" fontId="36" fillId="0" borderId="145" xfId="11" applyFont="1" applyBorder="1" applyAlignment="1">
      <alignment horizontal="center" vertical="center" shrinkToFit="1"/>
    </xf>
    <xf numFmtId="0" fontId="36" fillId="0" borderId="30" xfId="11" applyFont="1" applyBorder="1" applyAlignment="1">
      <alignment horizontal="center" vertical="center" shrinkToFit="1"/>
    </xf>
    <xf numFmtId="0" fontId="36" fillId="0" borderId="146" xfId="11" applyFont="1" applyBorder="1" applyAlignment="1">
      <alignment horizontal="center" vertical="center" shrinkToFit="1"/>
    </xf>
    <xf numFmtId="0" fontId="36" fillId="0" borderId="135" xfId="11" applyFont="1" applyBorder="1" applyAlignment="1">
      <alignment horizontal="center" vertical="center" shrinkToFit="1"/>
    </xf>
    <xf numFmtId="0" fontId="36" fillId="0" borderId="133" xfId="13" applyFont="1" applyBorder="1" applyAlignment="1">
      <alignment horizontal="center" vertical="center" shrinkToFit="1"/>
    </xf>
    <xf numFmtId="0" fontId="36" fillId="0" borderId="116" xfId="13" applyFont="1" applyBorder="1" applyAlignment="1">
      <alignment horizontal="center" vertical="center" shrinkToFit="1"/>
    </xf>
    <xf numFmtId="0" fontId="36" fillId="0" borderId="8" xfId="13" applyFont="1" applyBorder="1" applyAlignment="1">
      <alignment horizontal="center" vertical="center" shrinkToFit="1"/>
    </xf>
    <xf numFmtId="193" fontId="82" fillId="0" borderId="33" xfId="13" applyNumberFormat="1" applyFont="1" applyBorder="1" applyAlignment="1">
      <alignment horizontal="center" vertical="center" shrinkToFit="1"/>
    </xf>
    <xf numFmtId="193" fontId="82" fillId="0" borderId="92" xfId="13" applyNumberFormat="1" applyFont="1" applyBorder="1" applyAlignment="1">
      <alignment horizontal="center" vertical="center" shrinkToFit="1"/>
    </xf>
    <xf numFmtId="193" fontId="82" fillId="0" borderId="41" xfId="13" applyNumberFormat="1" applyFont="1" applyBorder="1" applyAlignment="1">
      <alignment horizontal="center" vertical="center" shrinkToFit="1"/>
    </xf>
    <xf numFmtId="193" fontId="82" fillId="0" borderId="99" xfId="13" applyNumberFormat="1" applyFont="1" applyBorder="1" applyAlignment="1">
      <alignment horizontal="center" vertical="center" shrinkToFit="1"/>
    </xf>
    <xf numFmtId="0" fontId="36" fillId="0" borderId="139" xfId="11" applyFont="1" applyBorder="1" applyAlignment="1">
      <alignment horizontal="center" vertical="center" shrinkToFit="1"/>
    </xf>
    <xf numFmtId="0" fontId="36" fillId="0" borderId="136" xfId="11" applyFont="1" applyBorder="1" applyAlignment="1">
      <alignment horizontal="center" vertical="center" shrinkToFit="1"/>
    </xf>
    <xf numFmtId="0" fontId="36" fillId="0" borderId="65" xfId="11" applyFont="1" applyBorder="1" applyAlignment="1">
      <alignment horizontal="center" vertical="center"/>
    </xf>
    <xf numFmtId="0" fontId="36" fillId="0" borderId="48" xfId="11" applyFont="1" applyBorder="1" applyAlignment="1">
      <alignment horizontal="center" vertical="center"/>
    </xf>
    <xf numFmtId="0" fontId="36" fillId="0" borderId="0" xfId="11" applyFont="1" applyAlignment="1">
      <alignment horizontal="center"/>
    </xf>
    <xf numFmtId="0" fontId="36" fillId="0" borderId="116" xfId="11" applyFont="1" applyBorder="1" applyAlignment="1">
      <alignment horizontal="center"/>
    </xf>
    <xf numFmtId="0" fontId="36" fillId="30" borderId="144" xfId="13" applyFont="1" applyFill="1" applyBorder="1" applyAlignment="1">
      <alignment horizontal="center" vertical="center" shrinkToFit="1"/>
    </xf>
    <xf numFmtId="0" fontId="36" fillId="30" borderId="92" xfId="13" applyFont="1" applyFill="1" applyBorder="1" applyAlignment="1">
      <alignment horizontal="center" vertical="center" shrinkToFit="1"/>
    </xf>
    <xf numFmtId="0" fontId="36" fillId="30" borderId="125" xfId="13" applyFont="1" applyFill="1" applyBorder="1" applyAlignment="1">
      <alignment horizontal="center" vertical="center" shrinkToFit="1"/>
    </xf>
    <xf numFmtId="0" fontId="36" fillId="30" borderId="99" xfId="13" applyFont="1" applyFill="1" applyBorder="1" applyAlignment="1">
      <alignment horizontal="center" vertical="center" shrinkToFit="1"/>
    </xf>
    <xf numFmtId="195" fontId="82" fillId="29" borderId="155" xfId="11" applyNumberFormat="1" applyFont="1" applyFill="1" applyBorder="1" applyAlignment="1">
      <alignment horizontal="center" vertical="center" shrinkToFit="1"/>
    </xf>
    <xf numFmtId="195" fontId="82" fillId="29" borderId="154" xfId="11" applyNumberFormat="1" applyFont="1" applyFill="1" applyBorder="1" applyAlignment="1">
      <alignment horizontal="center" vertical="center" shrinkToFit="1"/>
    </xf>
    <xf numFmtId="0" fontId="36" fillId="26" borderId="28" xfId="16" applyNumberFormat="1" applyFont="1" applyFill="1" applyBorder="1" applyAlignment="1" applyProtection="1">
      <alignment horizontal="center" vertical="center" shrinkToFit="1"/>
    </xf>
    <xf numFmtId="0" fontId="36" fillId="26" borderId="116" xfId="16" applyNumberFormat="1" applyFont="1" applyFill="1" applyBorder="1" applyAlignment="1" applyProtection="1">
      <alignment horizontal="center" vertical="center" shrinkToFit="1"/>
    </xf>
    <xf numFmtId="0" fontId="36" fillId="30" borderId="9" xfId="11" applyFont="1" applyFill="1" applyBorder="1" applyAlignment="1">
      <alignment horizontal="center" vertical="center" shrinkToFit="1"/>
    </xf>
    <xf numFmtId="0" fontId="36" fillId="30" borderId="11" xfId="11" applyFont="1" applyFill="1" applyBorder="1" applyAlignment="1">
      <alignment horizontal="center" vertical="center" shrinkToFit="1"/>
    </xf>
    <xf numFmtId="0" fontId="36" fillId="30" borderId="14" xfId="11" applyFont="1" applyFill="1" applyBorder="1" applyAlignment="1">
      <alignment horizontal="center" vertical="center" shrinkToFit="1"/>
    </xf>
    <xf numFmtId="0" fontId="36" fillId="0" borderId="5" xfId="11" applyFont="1" applyBorder="1" applyAlignment="1">
      <alignment horizontal="center"/>
    </xf>
    <xf numFmtId="0" fontId="36" fillId="0" borderId="6" xfId="11" applyFont="1" applyBorder="1" applyAlignment="1">
      <alignment horizontal="center"/>
    </xf>
    <xf numFmtId="0" fontId="36" fillId="0" borderId="3" xfId="11" applyFont="1" applyBorder="1" applyAlignment="1">
      <alignment horizontal="center"/>
    </xf>
    <xf numFmtId="0" fontId="13" fillId="0" borderId="0" xfId="12" applyFont="1" applyAlignment="1">
      <alignment horizontal="center" vertical="center"/>
    </xf>
    <xf numFmtId="195" fontId="81" fillId="29" borderId="128" xfId="11" applyNumberFormat="1" applyFont="1" applyFill="1" applyBorder="1" applyAlignment="1">
      <alignment horizontal="center" vertical="center" shrinkToFit="1"/>
    </xf>
    <xf numFmtId="195" fontId="81" fillId="29" borderId="124" xfId="11" applyNumberFormat="1" applyFont="1" applyFill="1" applyBorder="1" applyAlignment="1">
      <alignment horizontal="center" vertical="center" shrinkToFit="1"/>
    </xf>
    <xf numFmtId="0" fontId="36" fillId="26" borderId="134" xfId="11" applyFont="1" applyFill="1" applyBorder="1" applyAlignment="1">
      <alignment horizontal="center" vertical="center" shrinkToFit="1"/>
    </xf>
    <xf numFmtId="0" fontId="36" fillId="26" borderId="132" xfId="11" applyFont="1" applyFill="1" applyBorder="1" applyAlignment="1">
      <alignment horizontal="center" vertical="center" shrinkToFit="1"/>
    </xf>
    <xf numFmtId="0" fontId="83" fillId="0" borderId="76" xfId="11" applyFont="1" applyBorder="1" applyAlignment="1">
      <alignment horizontal="right" vertical="center" shrinkToFit="1"/>
    </xf>
    <xf numFmtId="0" fontId="83" fillId="0" borderId="0" xfId="11" applyFont="1" applyAlignment="1">
      <alignment horizontal="right" vertical="center" shrinkToFit="1"/>
    </xf>
    <xf numFmtId="0" fontId="83" fillId="0" borderId="76" xfId="11" applyFont="1" applyBorder="1" applyAlignment="1">
      <alignment horizontal="center" vertical="center" shrinkToFit="1"/>
    </xf>
    <xf numFmtId="0" fontId="83" fillId="0" borderId="0" xfId="11" applyFont="1" applyAlignment="1">
      <alignment horizontal="center" vertical="center" shrinkToFit="1"/>
    </xf>
    <xf numFmtId="0" fontId="83" fillId="0" borderId="76" xfId="11" applyFont="1" applyBorder="1" applyAlignment="1">
      <alignment horizontal="left" vertical="center" shrinkToFit="1"/>
    </xf>
    <xf numFmtId="0" fontId="83" fillId="0" borderId="133" xfId="11" applyFont="1" applyBorder="1" applyAlignment="1">
      <alignment horizontal="left" vertical="center" shrinkToFit="1"/>
    </xf>
    <xf numFmtId="0" fontId="83" fillId="0" borderId="0" xfId="11" applyFont="1" applyAlignment="1">
      <alignment horizontal="left" vertical="center" shrinkToFit="1"/>
    </xf>
    <xf numFmtId="0" fontId="83" fillId="0" borderId="116" xfId="11" applyFont="1" applyBorder="1" applyAlignment="1">
      <alignment horizontal="left" vertical="center" shrinkToFit="1"/>
    </xf>
    <xf numFmtId="193" fontId="36" fillId="0" borderId="24" xfId="13" applyNumberFormat="1" applyFont="1" applyBorder="1" applyAlignment="1">
      <alignment horizontal="right" shrinkToFit="1"/>
    </xf>
    <xf numFmtId="193" fontId="36" fillId="0" borderId="95" xfId="13" applyNumberFormat="1" applyFont="1" applyBorder="1" applyAlignment="1">
      <alignment horizontal="left" shrinkToFit="1"/>
    </xf>
    <xf numFmtId="0" fontId="36" fillId="0" borderId="10" xfId="13" applyFont="1" applyBorder="1" applyAlignment="1">
      <alignment horizontal="center" vertical="center" shrinkToFit="1"/>
    </xf>
    <xf numFmtId="0" fontId="36" fillId="0" borderId="71" xfId="13" applyFont="1" applyBorder="1" applyAlignment="1">
      <alignment horizontal="center" vertical="center" shrinkToFit="1"/>
    </xf>
    <xf numFmtId="0" fontId="36" fillId="0" borderId="30" xfId="13" applyFont="1" applyBorder="1" applyAlignment="1">
      <alignment horizontal="center" vertical="center" shrinkToFit="1"/>
    </xf>
    <xf numFmtId="56" fontId="13" fillId="0" borderId="129" xfId="11" applyNumberFormat="1" applyFont="1" applyBorder="1" applyAlignment="1">
      <alignment horizontal="center" vertical="center" shrinkToFit="1"/>
    </xf>
    <xf numFmtId="56" fontId="13" fillId="0" borderId="124" xfId="11" applyNumberFormat="1" applyFont="1" applyBorder="1" applyAlignment="1">
      <alignment horizontal="center" vertical="center" shrinkToFit="1"/>
    </xf>
    <xf numFmtId="0" fontId="83" fillId="0" borderId="28" xfId="11" applyFont="1" applyBorder="1" applyAlignment="1">
      <alignment horizontal="right" vertical="center" shrinkToFit="1"/>
    </xf>
    <xf numFmtId="0" fontId="83" fillId="0" borderId="41" xfId="11" applyFont="1" applyBorder="1" applyAlignment="1">
      <alignment horizontal="right" vertical="center" shrinkToFit="1"/>
    </xf>
    <xf numFmtId="0" fontId="83" fillId="0" borderId="42" xfId="11" applyFont="1" applyBorder="1" applyAlignment="1">
      <alignment horizontal="center" vertical="center" shrinkToFit="1"/>
    </xf>
    <xf numFmtId="0" fontId="83" fillId="0" borderId="42" xfId="11" applyFont="1" applyBorder="1" applyAlignment="1">
      <alignment horizontal="left" vertical="center" shrinkToFit="1"/>
    </xf>
    <xf numFmtId="0" fontId="83" fillId="0" borderId="126" xfId="11" applyFont="1" applyBorder="1" applyAlignment="1">
      <alignment horizontal="left" vertical="center" shrinkToFit="1"/>
    </xf>
    <xf numFmtId="195" fontId="82" fillId="0" borderId="33" xfId="13" applyNumberFormat="1" applyFont="1" applyBorder="1" applyAlignment="1">
      <alignment horizontal="center" vertical="center" shrinkToFit="1"/>
    </xf>
    <xf numFmtId="195" fontId="82" fillId="0" borderId="92" xfId="13" applyNumberFormat="1" applyFont="1" applyBorder="1" applyAlignment="1">
      <alignment horizontal="center" vertical="center" shrinkToFit="1"/>
    </xf>
    <xf numFmtId="195" fontId="82" fillId="0" borderId="41" xfId="13" applyNumberFormat="1" applyFont="1" applyBorder="1" applyAlignment="1">
      <alignment horizontal="center" vertical="center" shrinkToFit="1"/>
    </xf>
    <xf numFmtId="195" fontId="82" fillId="0" borderId="99" xfId="13" applyNumberFormat="1" applyFont="1" applyBorder="1" applyAlignment="1">
      <alignment horizontal="center" vertical="center" shrinkToFit="1"/>
    </xf>
    <xf numFmtId="0" fontId="104" fillId="0" borderId="76" xfId="11" applyFont="1" applyBorder="1" applyAlignment="1">
      <alignment horizontal="left" vertical="center" shrinkToFit="1"/>
    </xf>
    <xf numFmtId="0" fontId="104" fillId="0" borderId="121" xfId="11" applyFont="1" applyBorder="1" applyAlignment="1">
      <alignment horizontal="left" vertical="center" shrinkToFit="1"/>
    </xf>
    <xf numFmtId="0" fontId="36" fillId="0" borderId="5" xfId="11" applyFont="1" applyBorder="1" applyAlignment="1">
      <alignment horizontal="center" vertical="center"/>
    </xf>
    <xf numFmtId="0" fontId="36" fillId="0" borderId="6" xfId="11" applyFont="1" applyBorder="1" applyAlignment="1">
      <alignment horizontal="center" vertical="center"/>
    </xf>
    <xf numFmtId="0" fontId="36" fillId="0" borderId="3" xfId="11" applyFont="1" applyBorder="1" applyAlignment="1">
      <alignment horizontal="center" vertical="center"/>
    </xf>
    <xf numFmtId="0" fontId="36" fillId="0" borderId="0" xfId="11" applyFont="1" applyAlignment="1">
      <alignment horizontal="center" vertical="center"/>
    </xf>
    <xf numFmtId="0" fontId="9" fillId="0" borderId="0" xfId="11" applyFont="1" applyAlignment="1">
      <alignment horizontal="center" vertical="center" shrinkToFit="1"/>
    </xf>
    <xf numFmtId="0" fontId="36" fillId="0" borderId="0" xfId="11" applyFont="1" applyAlignment="1">
      <alignment horizontal="center" vertical="center" shrinkToFit="1"/>
    </xf>
    <xf numFmtId="0" fontId="36" fillId="0" borderId="0" xfId="11" applyFont="1" applyAlignment="1">
      <alignment horizontal="right" vertical="center" shrinkToFit="1"/>
    </xf>
    <xf numFmtId="0" fontId="36" fillId="2" borderId="2" xfId="11" applyFont="1" applyFill="1" applyBorder="1" applyAlignment="1" applyProtection="1">
      <alignment horizontal="center" vertical="center" shrinkToFit="1"/>
      <protection locked="0"/>
    </xf>
    <xf numFmtId="0" fontId="36" fillId="0" borderId="0" xfId="11" applyFont="1" applyAlignment="1">
      <alignment horizontal="left" vertical="center" shrinkToFit="1"/>
    </xf>
    <xf numFmtId="0" fontId="76" fillId="26" borderId="104" xfId="11" applyFont="1" applyFill="1" applyBorder="1" applyAlignment="1">
      <alignment horizontal="left" vertical="center"/>
    </xf>
    <xf numFmtId="0" fontId="76" fillId="26" borderId="100" xfId="11" applyFont="1" applyFill="1" applyBorder="1" applyAlignment="1">
      <alignment horizontal="left" vertical="center"/>
    </xf>
    <xf numFmtId="194" fontId="9" fillId="0" borderId="24" xfId="11" applyNumberFormat="1" applyFont="1" applyBorder="1" applyAlignment="1">
      <alignment horizontal="left" vertical="center" shrinkToFit="1"/>
    </xf>
    <xf numFmtId="194" fontId="9" fillId="0" borderId="0" xfId="11" applyNumberFormat="1" applyFont="1" applyAlignment="1">
      <alignment horizontal="left" vertical="center" shrinkToFit="1"/>
    </xf>
    <xf numFmtId="0" fontId="103" fillId="2" borderId="0" xfId="17" applyFont="1" applyFill="1" applyAlignment="1">
      <alignment horizontal="center" vertical="center" wrapText="1"/>
    </xf>
    <xf numFmtId="0" fontId="10" fillId="0" borderId="0" xfId="11" applyFont="1" applyAlignment="1">
      <alignment horizontal="right" vertical="center" shrinkToFit="1"/>
    </xf>
    <xf numFmtId="183" fontId="36" fillId="13" borderId="2" xfId="11" applyNumberFormat="1" applyFont="1" applyFill="1" applyBorder="1" applyAlignment="1" applyProtection="1">
      <alignment horizontal="center" vertical="center" shrinkToFit="1"/>
      <protection locked="0"/>
    </xf>
    <xf numFmtId="0" fontId="13" fillId="0" borderId="0" xfId="11" applyFont="1" applyAlignment="1">
      <alignment horizontal="right" vertical="center" shrinkToFit="1"/>
    </xf>
    <xf numFmtId="0" fontId="36" fillId="0" borderId="95" xfId="11" applyFont="1" applyBorder="1" applyAlignment="1">
      <alignment horizontal="center"/>
    </xf>
    <xf numFmtId="0" fontId="36" fillId="0" borderId="10" xfId="11" applyFont="1" applyBorder="1" applyAlignment="1">
      <alignment horizontal="center" vertical="center"/>
    </xf>
    <xf numFmtId="0" fontId="36" fillId="0" borderId="71" xfId="11" applyFont="1" applyBorder="1" applyAlignment="1">
      <alignment horizontal="center" vertical="center"/>
    </xf>
    <xf numFmtId="0" fontId="36" fillId="0" borderId="8" xfId="11" applyFont="1" applyBorder="1" applyAlignment="1">
      <alignment horizontal="center" vertical="center"/>
    </xf>
    <xf numFmtId="0" fontId="36" fillId="0" borderId="2" xfId="11" applyFont="1" applyBorder="1" applyAlignment="1">
      <alignment horizontal="center" vertical="center"/>
    </xf>
    <xf numFmtId="0" fontId="36" fillId="2" borderId="10" xfId="11" applyFont="1" applyFill="1" applyBorder="1" applyAlignment="1" applyProtection="1">
      <alignment horizontal="center" vertical="center" shrinkToFit="1"/>
      <protection locked="0"/>
    </xf>
    <xf numFmtId="0" fontId="13" fillId="26" borderId="110" xfId="11" applyFont="1" applyFill="1" applyBorder="1" applyAlignment="1">
      <alignment horizontal="center" vertical="center"/>
    </xf>
    <xf numFmtId="0" fontId="13" fillId="26" borderId="104" xfId="11" applyFont="1" applyFill="1" applyBorder="1" applyAlignment="1">
      <alignment horizontal="center" vertical="center"/>
    </xf>
    <xf numFmtId="0" fontId="13" fillId="26" borderId="100" xfId="11" applyFont="1" applyFill="1" applyBorder="1" applyAlignment="1">
      <alignment horizontal="center" vertical="center"/>
    </xf>
    <xf numFmtId="0" fontId="76" fillId="26" borderId="110" xfId="11" applyFont="1" applyFill="1" applyBorder="1" applyAlignment="1">
      <alignment horizontal="left" vertical="center"/>
    </xf>
    <xf numFmtId="0" fontId="36" fillId="0" borderId="116" xfId="11" applyFont="1" applyBorder="1" applyAlignment="1">
      <alignment horizontal="right" vertical="center" shrinkToFit="1"/>
    </xf>
    <xf numFmtId="0" fontId="79" fillId="0" borderId="0" xfId="11" applyFont="1" applyAlignment="1">
      <alignment horizontal="right" vertical="center" shrinkToFit="1"/>
    </xf>
    <xf numFmtId="0" fontId="79" fillId="0" borderId="116" xfId="11" applyFont="1" applyBorder="1" applyAlignment="1">
      <alignment horizontal="right" vertical="center" shrinkToFit="1"/>
    </xf>
    <xf numFmtId="0" fontId="76" fillId="0" borderId="110" xfId="11" applyFont="1" applyBorder="1" applyAlignment="1">
      <alignment horizontal="center" vertical="center"/>
    </xf>
    <xf numFmtId="0" fontId="76" fillId="0" borderId="104" xfId="11" applyFont="1" applyBorder="1" applyAlignment="1">
      <alignment horizontal="center" vertical="center"/>
    </xf>
    <xf numFmtId="0" fontId="13" fillId="26" borderId="110" xfId="11" applyFont="1" applyFill="1" applyBorder="1" applyAlignment="1">
      <alignment horizontal="left" vertical="center"/>
    </xf>
    <xf numFmtId="0" fontId="13" fillId="26" borderId="104" xfId="11" applyFont="1" applyFill="1" applyBorder="1" applyAlignment="1">
      <alignment horizontal="left" vertical="center"/>
    </xf>
    <xf numFmtId="0" fontId="13" fillId="26" borderId="100" xfId="11" applyFont="1" applyFill="1" applyBorder="1" applyAlignment="1">
      <alignment horizontal="left" vertical="center"/>
    </xf>
    <xf numFmtId="0" fontId="39" fillId="11" borderId="33" xfId="17" applyFont="1" applyFill="1" applyBorder="1" applyAlignment="1">
      <alignment horizontal="center" vertical="center"/>
    </xf>
    <xf numFmtId="0" fontId="39" fillId="11" borderId="76" xfId="17" applyFont="1" applyFill="1" applyBorder="1" applyAlignment="1">
      <alignment horizontal="center" vertical="center"/>
    </xf>
    <xf numFmtId="0" fontId="39" fillId="11" borderId="92" xfId="17" applyFont="1" applyFill="1" applyBorder="1" applyAlignment="1">
      <alignment horizontal="center" vertical="center"/>
    </xf>
    <xf numFmtId="0" fontId="39" fillId="11" borderId="28" xfId="17" applyFont="1" applyFill="1" applyBorder="1" applyAlignment="1">
      <alignment horizontal="center" vertical="center"/>
    </xf>
    <xf numFmtId="0" fontId="39" fillId="11" borderId="0" xfId="17" applyFont="1" applyFill="1" applyAlignment="1">
      <alignment horizontal="center" vertical="center"/>
    </xf>
    <xf numFmtId="0" fontId="39" fillId="11" borderId="95" xfId="17" applyFont="1" applyFill="1" applyBorder="1" applyAlignment="1">
      <alignment horizontal="center" vertical="center"/>
    </xf>
    <xf numFmtId="0" fontId="39" fillId="11" borderId="41" xfId="17" applyFont="1" applyFill="1" applyBorder="1" applyAlignment="1">
      <alignment horizontal="center" vertical="center"/>
    </xf>
    <xf numFmtId="0" fontId="39" fillId="11" borderId="42" xfId="17" applyFont="1" applyFill="1" applyBorder="1" applyAlignment="1">
      <alignment horizontal="center" vertical="center"/>
    </xf>
    <xf numFmtId="0" fontId="39" fillId="11" borderId="99" xfId="17" applyFont="1" applyFill="1" applyBorder="1" applyAlignment="1">
      <alignment horizontal="center" vertical="center"/>
    </xf>
    <xf numFmtId="180" fontId="94" fillId="0" borderId="0" xfId="17" applyNumberFormat="1" applyFont="1" applyAlignment="1">
      <alignment horizontal="left"/>
    </xf>
    <xf numFmtId="180" fontId="94" fillId="0" borderId="42" xfId="17" applyNumberFormat="1" applyFont="1" applyBorder="1" applyAlignment="1">
      <alignment horizontal="left"/>
    </xf>
    <xf numFmtId="0" fontId="13" fillId="0" borderId="0" xfId="17" applyFont="1" applyAlignment="1">
      <alignment horizontal="right" vertical="center"/>
    </xf>
    <xf numFmtId="0" fontId="8" fillId="0" borderId="4" xfId="17" applyFont="1" applyBorder="1" applyAlignment="1">
      <alignment horizontal="center" vertical="center"/>
    </xf>
    <xf numFmtId="0" fontId="14" fillId="2" borderId="33" xfId="17" applyFont="1" applyFill="1" applyBorder="1" applyAlignment="1">
      <alignment horizontal="left" vertical="center" wrapText="1"/>
    </xf>
    <xf numFmtId="0" fontId="14" fillId="2" borderId="76" xfId="17" applyFont="1" applyFill="1" applyBorder="1" applyAlignment="1">
      <alignment horizontal="left" vertical="center" wrapText="1"/>
    </xf>
    <xf numFmtId="0" fontId="14" fillId="2" borderId="92" xfId="17" applyFont="1" applyFill="1" applyBorder="1" applyAlignment="1">
      <alignment horizontal="left" vertical="center" wrapText="1"/>
    </xf>
    <xf numFmtId="0" fontId="14" fillId="2" borderId="28" xfId="17" applyFont="1" applyFill="1" applyBorder="1" applyAlignment="1">
      <alignment horizontal="left" vertical="center" wrapText="1"/>
    </xf>
    <xf numFmtId="0" fontId="14" fillId="2" borderId="0" xfId="17" applyFont="1" applyFill="1" applyAlignment="1">
      <alignment horizontal="left" vertical="center" wrapText="1"/>
    </xf>
    <xf numFmtId="0" fontId="14" fillId="2" borderId="95" xfId="17" applyFont="1" applyFill="1" applyBorder="1" applyAlignment="1">
      <alignment horizontal="left" vertical="center" wrapText="1"/>
    </xf>
    <xf numFmtId="0" fontId="14" fillId="2" borderId="41" xfId="17" applyFont="1" applyFill="1" applyBorder="1" applyAlignment="1">
      <alignment horizontal="left" vertical="center" wrapText="1"/>
    </xf>
    <xf numFmtId="0" fontId="14" fillId="2" borderId="42" xfId="17" applyFont="1" applyFill="1" applyBorder="1" applyAlignment="1">
      <alignment horizontal="left" vertical="center" wrapText="1"/>
    </xf>
    <xf numFmtId="0" fontId="14" fillId="2" borderId="99" xfId="17" applyFont="1" applyFill="1" applyBorder="1" applyAlignment="1">
      <alignment horizontal="left" vertical="center" wrapText="1"/>
    </xf>
    <xf numFmtId="0" fontId="21" fillId="28" borderId="76" xfId="17" applyFont="1" applyFill="1" applyBorder="1" applyAlignment="1" applyProtection="1">
      <alignment horizontal="center" vertical="center"/>
      <protection locked="0"/>
    </xf>
    <xf numFmtId="0" fontId="21" fillId="28" borderId="0" xfId="17" applyFont="1" applyFill="1" applyAlignment="1" applyProtection="1">
      <alignment horizontal="center" vertical="center"/>
      <protection locked="0"/>
    </xf>
    <xf numFmtId="0" fontId="21" fillId="28" borderId="42" xfId="17" applyFont="1" applyFill="1" applyBorder="1" applyAlignment="1" applyProtection="1">
      <alignment horizontal="center" vertical="center"/>
      <protection locked="0"/>
    </xf>
    <xf numFmtId="0" fontId="11" fillId="0" borderId="92" xfId="17" applyFont="1" applyBorder="1" applyAlignment="1">
      <alignment horizontal="left" vertical="center"/>
    </xf>
    <xf numFmtId="0" fontId="11" fillId="0" borderId="95" xfId="17" applyFont="1" applyBorder="1" applyAlignment="1">
      <alignment horizontal="left" vertical="center"/>
    </xf>
    <xf numFmtId="0" fontId="11" fillId="0" borderId="99" xfId="17" applyFont="1" applyBorder="1" applyAlignment="1">
      <alignment horizontal="left" vertical="center"/>
    </xf>
    <xf numFmtId="0" fontId="33" fillId="34" borderId="167" xfId="17" applyFont="1" applyFill="1" applyBorder="1" applyAlignment="1">
      <alignment horizontal="center" vertical="center"/>
    </xf>
    <xf numFmtId="0" fontId="33" fillId="34" borderId="147" xfId="17" applyFont="1" applyFill="1" applyBorder="1" applyAlignment="1">
      <alignment horizontal="center" vertical="center"/>
    </xf>
    <xf numFmtId="0" fontId="29" fillId="4" borderId="167" xfId="17" applyFont="1" applyFill="1" applyBorder="1" applyAlignment="1">
      <alignment horizontal="center" vertical="center" wrapText="1"/>
    </xf>
    <xf numFmtId="0" fontId="29" fillId="4" borderId="161" xfId="17" applyFont="1" applyFill="1" applyBorder="1" applyAlignment="1">
      <alignment horizontal="center" vertical="center"/>
    </xf>
    <xf numFmtId="38" fontId="94" fillId="0" borderId="168" xfId="18" applyFont="1" applyBorder="1" applyAlignment="1" applyProtection="1">
      <alignment horizontal="center" vertical="center"/>
    </xf>
    <xf numFmtId="38" fontId="94" fillId="0" borderId="156" xfId="18" applyFont="1" applyBorder="1" applyAlignment="1" applyProtection="1">
      <alignment horizontal="center" vertical="center"/>
    </xf>
    <xf numFmtId="0" fontId="10" fillId="2" borderId="0" xfId="17" applyFont="1" applyFill="1" applyAlignment="1">
      <alignment horizontal="center" vertical="center" wrapText="1"/>
    </xf>
    <xf numFmtId="0" fontId="8" fillId="2" borderId="0" xfId="17" applyFont="1" applyFill="1" applyAlignment="1">
      <alignment horizontal="left" vertical="center"/>
    </xf>
    <xf numFmtId="0" fontId="29" fillId="4" borderId="167" xfId="17" applyFont="1" applyFill="1" applyBorder="1" applyAlignment="1">
      <alignment horizontal="center" vertical="center"/>
    </xf>
    <xf numFmtId="14" fontId="21" fillId="0" borderId="168" xfId="17" applyNumberFormat="1" applyFont="1" applyBorder="1" applyAlignment="1">
      <alignment horizontal="center" vertical="center"/>
    </xf>
    <xf numFmtId="0" fontId="21" fillId="0" borderId="156" xfId="17" applyFont="1" applyBorder="1" applyAlignment="1">
      <alignment horizontal="center" vertical="center"/>
    </xf>
    <xf numFmtId="0" fontId="91" fillId="0" borderId="167" xfId="17" applyFont="1" applyBorder="1" applyAlignment="1">
      <alignment horizontal="center" vertical="center"/>
    </xf>
    <xf numFmtId="0" fontId="91" fillId="0" borderId="147" xfId="17" applyFont="1" applyBorder="1" applyAlignment="1">
      <alignment horizontal="center" vertical="center"/>
    </xf>
    <xf numFmtId="0" fontId="91" fillId="0" borderId="168" xfId="17" applyFont="1" applyBorder="1" applyAlignment="1">
      <alignment horizontal="center" vertical="center"/>
    </xf>
    <xf numFmtId="0" fontId="91" fillId="0" borderId="143" xfId="17" applyFont="1" applyBorder="1" applyAlignment="1">
      <alignment horizontal="center" vertical="center"/>
    </xf>
    <xf numFmtId="0" fontId="8" fillId="0" borderId="139" xfId="17" applyFont="1" applyBorder="1" applyAlignment="1">
      <alignment horizontal="center" vertical="center"/>
    </xf>
    <xf numFmtId="0" fontId="8" fillId="0" borderId="137" xfId="17" applyFont="1" applyBorder="1" applyAlignment="1">
      <alignment horizontal="center" vertical="center"/>
    </xf>
    <xf numFmtId="0" fontId="11" fillId="0" borderId="138" xfId="17" applyFont="1" applyBorder="1" applyAlignment="1">
      <alignment horizontal="left" vertical="center"/>
    </xf>
    <xf numFmtId="0" fontId="11" fillId="0" borderId="136" xfId="17" applyFont="1" applyBorder="1" applyAlignment="1">
      <alignment horizontal="left" vertical="center"/>
    </xf>
    <xf numFmtId="0" fontId="90" fillId="0" borderId="159" xfId="17" applyFont="1" applyBorder="1" applyAlignment="1">
      <alignment horizontal="center" vertical="center" textRotation="255"/>
    </xf>
    <xf numFmtId="0" fontId="90" fillId="0" borderId="56" xfId="17" applyFont="1" applyBorder="1" applyAlignment="1">
      <alignment horizontal="center" vertical="center" textRotation="255"/>
    </xf>
    <xf numFmtId="0" fontId="90" fillId="0" borderId="157" xfId="17" applyFont="1" applyBorder="1" applyAlignment="1">
      <alignment horizontal="center" vertical="center" textRotation="255"/>
    </xf>
    <xf numFmtId="0" fontId="84" fillId="0" borderId="17" xfId="10" applyFont="1" applyBorder="1" applyAlignment="1">
      <alignment horizontal="left" vertical="center" shrinkToFit="1"/>
    </xf>
    <xf numFmtId="0" fontId="84" fillId="0" borderId="18" xfId="10" applyFont="1" applyBorder="1" applyAlignment="1">
      <alignment horizontal="left" vertical="center" shrinkToFit="1"/>
    </xf>
    <xf numFmtId="0" fontId="84" fillId="0" borderId="57" xfId="10" applyFont="1" applyBorder="1" applyAlignment="1">
      <alignment horizontal="left" vertical="center" shrinkToFit="1"/>
    </xf>
    <xf numFmtId="0" fontId="84" fillId="0" borderId="59" xfId="10" applyFont="1" applyBorder="1" applyAlignment="1">
      <alignment horizontal="left" vertical="center" shrinkToFit="1"/>
    </xf>
    <xf numFmtId="0" fontId="84" fillId="0" borderId="57" xfId="17" applyFont="1" applyBorder="1" applyAlignment="1">
      <alignment horizontal="left" vertical="center"/>
    </xf>
    <xf numFmtId="0" fontId="84" fillId="0" borderId="59" xfId="17" applyFont="1" applyBorder="1" applyAlignment="1">
      <alignment horizontal="left" vertical="center"/>
    </xf>
    <xf numFmtId="0" fontId="84" fillId="0" borderId="19" xfId="10" applyFont="1" applyBorder="1" applyAlignment="1">
      <alignment horizontal="left" vertical="center" shrinkToFit="1"/>
    </xf>
    <xf numFmtId="0" fontId="84" fillId="0" borderId="21" xfId="10" applyFont="1" applyBorder="1" applyAlignment="1">
      <alignment horizontal="left" vertical="center" shrinkToFit="1"/>
    </xf>
    <xf numFmtId="0" fontId="33" fillId="34" borderId="143" xfId="17" applyFont="1" applyFill="1" applyBorder="1" applyAlignment="1">
      <alignment horizontal="center" vertical="center"/>
    </xf>
    <xf numFmtId="0" fontId="33" fillId="34" borderId="148" xfId="17" applyFont="1" applyFill="1" applyBorder="1" applyAlignment="1">
      <alignment horizontal="center" vertical="center"/>
    </xf>
    <xf numFmtId="0" fontId="33" fillId="34" borderId="166" xfId="17" applyFont="1" applyFill="1" applyBorder="1" applyAlignment="1">
      <alignment horizontal="center" vertical="center"/>
    </xf>
    <xf numFmtId="0" fontId="90" fillId="0" borderId="165" xfId="17" applyFont="1" applyBorder="1" applyAlignment="1">
      <alignment horizontal="center" vertical="center" textRotation="255"/>
    </xf>
    <xf numFmtId="0" fontId="90" fillId="0" borderId="81" xfId="17" applyFont="1" applyBorder="1" applyAlignment="1">
      <alignment horizontal="center" vertical="center" textRotation="255"/>
    </xf>
    <xf numFmtId="0" fontId="90" fillId="0" borderId="84" xfId="17" applyFont="1" applyBorder="1" applyAlignment="1">
      <alignment horizontal="center" vertical="center" textRotation="255"/>
    </xf>
    <xf numFmtId="0" fontId="18" fillId="0" borderId="2" xfId="2" applyBorder="1" applyAlignment="1">
      <alignment horizontal="center" vertical="center" shrinkToFit="1"/>
    </xf>
  </cellXfs>
  <cellStyles count="20">
    <cellStyle name="パーセント" xfId="4" builtinId="5"/>
    <cellStyle name="パーセント 2" xfId="7" xr:uid="{A8B1ECC1-2C0A-4AC5-BCCC-AA36A6E69F6F}"/>
    <cellStyle name="ハイパーリンク" xfId="2" builtinId="8" customBuiltin="1"/>
    <cellStyle name="ハイパーリンク 2" xfId="9" xr:uid="{A962D1C2-5BF4-41C8-9D88-1F260B27150A}"/>
    <cellStyle name="桁区切り" xfId="1" builtinId="6"/>
    <cellStyle name="桁区切り 2" xfId="8" xr:uid="{103BB07E-E6BD-4171-8FBF-63CDCFE874D8}"/>
    <cellStyle name="桁区切り 2 2" xfId="14" xr:uid="{E00BB7F1-C6E1-45CA-948D-19CE5C23A533}"/>
    <cellStyle name="桁区切り 3" xfId="19" xr:uid="{02975A18-91D3-459A-B7A8-4A4DC62393AD}"/>
    <cellStyle name="桁区切り 3 2" xfId="18" xr:uid="{A720114A-2AF5-4CE2-8967-D01FBFB51904}"/>
    <cellStyle name="通貨" xfId="3" builtinId="7"/>
    <cellStyle name="通貨 2" xfId="5" xr:uid="{2950AF0A-4673-4383-9A1F-E29C9F9B476C}"/>
    <cellStyle name="通貨 2 2" xfId="15" xr:uid="{1A22583E-532C-4ABD-888F-39F5E2222020}"/>
    <cellStyle name="通貨 3" xfId="16" xr:uid="{7F196FC8-7DB1-4642-A243-F1C44F7FEE24}"/>
    <cellStyle name="標準" xfId="0" builtinId="0"/>
    <cellStyle name="標準 2" xfId="6" xr:uid="{3F5B3543-989E-45B8-9143-3E9D02730991}"/>
    <cellStyle name="標準 2 2" xfId="10" xr:uid="{AD60C00F-7697-4A3A-9628-BC507371662D}"/>
    <cellStyle name="標準 3" xfId="11" xr:uid="{B8B3DD77-31DC-465E-915E-A0EE87A9F98B}"/>
    <cellStyle name="標準 3 2" xfId="12" xr:uid="{EEF9EB92-FF44-4C79-B76E-DBBEC9E706A5}"/>
    <cellStyle name="標準 4" xfId="17" xr:uid="{68431BF6-69E1-4B19-AB68-52592CC13E40}"/>
    <cellStyle name="標準_着工要因" xfId="13" xr:uid="{BB8575A8-D570-49D3-999C-73C9679B2DB8}"/>
  </cellStyles>
  <dxfs count="178">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30" formatCode="@"/>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183" formatCode="[$-F800]dddd\,\ mmmm\ dd\,\ yyyy"/>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30" formatCode="@"/>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30" formatCode="@"/>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30" formatCode="@"/>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30" formatCode="@"/>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numFmt numFmtId="30" formatCode="@"/>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alignment horizontal="left" vertical="center" textRotation="0" wrapText="0" indent="0" justifyLastLine="0" shrinkToFit="0" readingOrder="0"/>
    </dxf>
    <dxf>
      <fill>
        <patternFill>
          <bgColor rgb="FFFFFF00"/>
        </patternFill>
      </fill>
    </dxf>
    <dxf>
      <font>
        <b val="0"/>
        <i val="0"/>
        <strike val="0"/>
        <condense val="0"/>
        <extend val="0"/>
        <outline val="0"/>
        <shadow val="0"/>
        <u val="none"/>
        <vertAlign val="baseline"/>
        <sz val="10"/>
        <color theme="1"/>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1"/>
        <name val="Meiryo UI"/>
        <family val="3"/>
        <charset val="128"/>
        <scheme val="none"/>
      </font>
      <numFmt numFmtId="200" formatCode="m/d/yyyy"/>
      <alignment horizontal="left" vertical="center" textRotation="0" wrapText="0" indent="0" justifyLastLine="0" shrinkToFit="0" readingOrder="0"/>
      <protection locked="1" hidden="0"/>
    </dxf>
    <dxf>
      <font>
        <strike val="0"/>
        <outline val="0"/>
        <shadow val="0"/>
        <u val="none"/>
        <vertAlign val="baseline"/>
        <sz val="10"/>
        <color theme="1"/>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0"/>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1"/>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1"/>
        <name val="Meiryo UI"/>
        <family val="3"/>
        <charset val="128"/>
        <scheme val="none"/>
      </font>
      <numFmt numFmtId="200" formatCode="m/d/yyyy"/>
      <alignment horizontal="left" vertical="center" textRotation="0" wrapText="0" indent="0" justifyLastLine="0" shrinkToFit="0" readingOrder="0"/>
      <protection locked="1" hidden="0"/>
    </dxf>
    <dxf>
      <font>
        <strike val="0"/>
        <outline val="0"/>
        <shadow val="0"/>
        <u val="none"/>
        <vertAlign val="baseline"/>
        <sz val="10"/>
        <color theme="1"/>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0"/>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1"/>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1"/>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1"/>
        <name val="Meiryo UI"/>
        <family val="3"/>
        <charset val="128"/>
        <scheme val="none"/>
      </font>
      <alignment horizontal="left" vertical="center" textRotation="0" wrapText="0" indent="0" justifyLastLine="0" shrinkToFit="0" readingOrder="0"/>
      <protection locked="1" hidden="0"/>
    </dxf>
    <dxf>
      <font>
        <b val="0"/>
        <i val="0"/>
        <strike val="0"/>
        <condense val="0"/>
        <extend val="0"/>
        <outline val="0"/>
        <shadow val="0"/>
        <u val="none"/>
        <vertAlign val="baseline"/>
        <sz val="10"/>
        <color theme="0"/>
        <name val="Meiryo UI"/>
        <family val="3"/>
        <charset val="128"/>
        <scheme val="none"/>
      </font>
      <alignment horizontal="left" vertical="center" textRotation="0" wrapText="0" indent="0" justifyLastLine="0" shrinkToFit="0" readingOrder="0"/>
      <protection locked="1" hidden="0"/>
    </dxf>
    <dxf>
      <fill>
        <patternFill>
          <bgColor theme="1"/>
        </patternFill>
      </fill>
    </dxf>
    <dxf>
      <fill>
        <patternFill>
          <bgColor theme="1"/>
        </patternFill>
      </fill>
    </dxf>
    <dxf>
      <fill>
        <patternFill>
          <bgColor theme="1"/>
        </patternFill>
      </fill>
    </dxf>
    <dxf>
      <font>
        <color auto="1"/>
      </font>
      <fill>
        <patternFill>
          <bgColor theme="1"/>
        </patternFill>
      </fill>
    </dxf>
    <dxf>
      <fill>
        <patternFill>
          <bgColor theme="1"/>
        </patternFill>
      </fill>
    </dxf>
    <dxf>
      <fill>
        <patternFill>
          <bgColor theme="1"/>
        </patternFill>
      </fill>
    </dxf>
    <dxf>
      <font>
        <color theme="0"/>
      </font>
      <fill>
        <patternFill>
          <bgColor rgb="FF0066FF"/>
        </patternFill>
      </fill>
    </dxf>
    <dxf>
      <font>
        <color theme="0"/>
      </font>
      <fill>
        <patternFill>
          <bgColor rgb="FFFF0000"/>
        </patternFill>
      </fill>
    </dxf>
    <dxf>
      <font>
        <strike val="0"/>
        <outline val="0"/>
        <shadow val="0"/>
        <u val="none"/>
        <vertAlign val="baseline"/>
        <sz val="10"/>
        <color theme="1"/>
        <name val="Meiryo UI"/>
        <family val="3"/>
        <charset val="128"/>
        <scheme val="none"/>
      </font>
      <numFmt numFmtId="200" formatCode="m/d/yyyy"/>
      <alignment horizontal="center" vertical="center" textRotation="0" wrapText="0" indent="0" justifyLastLine="0" shrinkToFit="0" readingOrder="0"/>
    </dxf>
    <dxf>
      <font>
        <strike val="0"/>
        <outline val="0"/>
        <shadow val="0"/>
        <u val="none"/>
        <vertAlign val="baseline"/>
        <sz val="10"/>
        <color theme="1"/>
        <name val="Meiryo UI"/>
        <family val="3"/>
        <charset val="128"/>
        <scheme val="none"/>
      </font>
      <numFmt numFmtId="200" formatCode="m/d/yyyy"/>
      <alignment horizontal="center" vertical="center" textRotation="0" wrapText="0" indent="0" justifyLastLine="0" shrinkToFit="0" readingOrder="0"/>
    </dxf>
    <dxf>
      <font>
        <strike val="0"/>
        <outline val="0"/>
        <shadow val="0"/>
        <u val="none"/>
        <vertAlign val="baseline"/>
        <sz val="10"/>
        <color theme="1"/>
        <name val="Meiryo UI"/>
        <family val="3"/>
        <charset val="128"/>
        <scheme val="none"/>
      </font>
      <numFmt numFmtId="180" formatCode="General;;"/>
      <alignment horizontal="center" vertical="center" textRotation="0" wrapText="0" indent="0" justifyLastLine="0" shrinkToFit="0" readingOrder="0"/>
    </dxf>
    <dxf>
      <font>
        <b/>
        <strike val="0"/>
        <outline val="0"/>
        <shadow val="0"/>
        <u val="none"/>
        <vertAlign val="baseline"/>
        <sz val="10"/>
        <color theme="1"/>
        <name val="Meiryo UI"/>
        <family val="3"/>
        <charset val="128"/>
        <scheme val="none"/>
      </font>
      <numFmt numFmtId="0" formatCode="General"/>
      <fill>
        <patternFill patternType="solid">
          <fgColor indexed="64"/>
          <bgColor rgb="FFFFFF00"/>
        </patternFill>
      </fill>
      <alignment horizontal="center" vertical="center" textRotation="0" wrapText="0" indent="0" justifyLastLine="0" shrinkToFit="0" readingOrder="0"/>
      <border diagonalUp="0" diagonalDown="0">
        <left style="thin">
          <color auto="1"/>
        </left>
        <right style="thin">
          <color auto="1"/>
        </right>
        <top style="thin">
          <color auto="1"/>
        </top>
        <bottom style="thin">
          <color auto="1"/>
        </bottom>
        <vertical/>
        <horizontal style="thin">
          <color auto="1"/>
        </horizontal>
      </border>
    </dxf>
    <dxf>
      <font>
        <strike val="0"/>
        <outline val="0"/>
        <shadow val="0"/>
        <u val="none"/>
        <vertAlign val="baseline"/>
        <sz val="10"/>
        <color theme="1"/>
        <name val="Meiryo UI"/>
        <family val="3"/>
        <charset val="128"/>
        <scheme val="none"/>
      </font>
      <numFmt numFmtId="0" formatCode="General"/>
      <alignment horizontal="center" vertical="center" textRotation="0" wrapText="0" indent="0" justifyLastLine="0" shrinkToFit="0" readingOrder="0"/>
    </dxf>
    <dxf>
      <font>
        <strike val="0"/>
        <outline val="0"/>
        <shadow val="0"/>
        <u val="none"/>
        <vertAlign val="baseline"/>
        <sz val="10"/>
        <color theme="1"/>
        <name val="Meiryo UI"/>
        <family val="3"/>
        <charset val="128"/>
        <scheme val="none"/>
      </font>
      <numFmt numFmtId="0" formatCode="General"/>
    </dxf>
    <dxf>
      <font>
        <strike val="0"/>
        <outline val="0"/>
        <shadow val="0"/>
        <u val="none"/>
        <vertAlign val="baseline"/>
        <sz val="10"/>
        <color theme="1"/>
        <name val="Meiryo UI"/>
        <family val="3"/>
        <charset val="128"/>
        <scheme val="none"/>
      </font>
      <numFmt numFmtId="0" formatCode="General"/>
      <alignment horizontal="center" vertical="center" textRotation="0" wrapText="0" indent="0" justifyLastLine="0" shrinkToFit="0" readingOrder="0"/>
    </dxf>
    <dxf>
      <font>
        <strike val="0"/>
        <outline val="0"/>
        <shadow val="0"/>
        <u val="none"/>
        <vertAlign val="baseline"/>
        <sz val="10"/>
        <color theme="1"/>
        <name val="Meiryo UI"/>
        <family val="3"/>
        <charset val="128"/>
        <scheme val="none"/>
      </font>
      <numFmt numFmtId="0" formatCode="General"/>
      <alignment horizontal="center" vertical="center" textRotation="0" wrapText="0" indent="0" justifyLastLine="0" shrinkToFit="0" readingOrder="0"/>
    </dxf>
    <dxf>
      <font>
        <b val="0"/>
        <i val="0"/>
        <strike val="0"/>
        <condense val="0"/>
        <extend val="0"/>
        <outline val="0"/>
        <shadow val="0"/>
        <u val="none"/>
        <vertAlign val="baseline"/>
        <sz val="10"/>
        <color theme="1"/>
        <name val="Meiryo UI"/>
        <family val="3"/>
        <charset val="128"/>
        <scheme val="none"/>
      </font>
      <numFmt numFmtId="180" formatCode="General;;"/>
      <alignment horizontal="center" vertical="center" textRotation="0" wrapText="0" indent="0" justifyLastLine="0" shrinkToFit="0" readingOrder="0"/>
    </dxf>
    <dxf>
      <font>
        <strike val="0"/>
        <outline val="0"/>
        <shadow val="0"/>
        <u/>
        <vertAlign val="baseline"/>
        <sz val="10"/>
        <color rgb="FF0000FF"/>
        <name val="Meiryo UI"/>
        <family val="3"/>
        <charset val="128"/>
        <scheme val="none"/>
      </font>
      <numFmt numFmtId="180" formatCode="General;;"/>
      <alignment horizontal="center" vertical="center" textRotation="0" wrapText="0" indent="0" justifyLastLine="0" shrinkToFit="0" readingOrder="0"/>
    </dxf>
    <dxf>
      <font>
        <strike val="0"/>
        <outline val="0"/>
        <shadow val="0"/>
        <u val="none"/>
        <vertAlign val="baseline"/>
        <sz val="10"/>
        <color theme="1"/>
        <name val="Meiryo UI"/>
        <family val="3"/>
        <charset val="128"/>
        <scheme val="none"/>
      </font>
    </dxf>
    <dxf>
      <font>
        <strike val="0"/>
        <outline val="0"/>
        <shadow val="0"/>
        <u val="none"/>
        <vertAlign val="baseline"/>
        <sz val="10"/>
        <color theme="1"/>
        <name val="Meiryo UI"/>
        <family val="3"/>
        <charset val="128"/>
        <scheme val="none"/>
      </font>
      <alignment horizontal="center" vertical="center" textRotation="0" wrapText="0" indent="0" justifyLastLine="0" shrinkToFit="0" readingOrder="0"/>
    </dxf>
    <dxf>
      <font>
        <b/>
        <i val="0"/>
        <color theme="1"/>
      </font>
      <fill>
        <patternFill>
          <bgColor theme="0"/>
        </patternFill>
      </fill>
      <border>
        <left style="thin">
          <color auto="1"/>
        </left>
        <right style="thin">
          <color auto="1"/>
        </right>
        <top style="thin">
          <color auto="1"/>
        </top>
        <bottom style="thin">
          <color auto="1"/>
        </bottom>
      </border>
    </dxf>
    <dxf>
      <font>
        <b/>
        <i val="0"/>
        <color theme="0"/>
      </font>
      <fill>
        <patternFill>
          <bgColor rgb="FFFF0000"/>
        </patternFill>
      </fill>
      <border>
        <left style="thin">
          <color auto="1"/>
        </left>
        <right style="thin">
          <color auto="1"/>
        </right>
        <top style="thin">
          <color auto="1"/>
        </top>
        <bottom style="thin">
          <color auto="1"/>
        </bottom>
      </border>
    </dxf>
    <dxf>
      <font>
        <b/>
        <i val="0"/>
        <color theme="0"/>
      </font>
      <fill>
        <patternFill>
          <bgColor theme="5" tint="-0.24994659260841701"/>
        </patternFill>
      </fill>
      <border>
        <left style="thin">
          <color auto="1"/>
        </left>
        <right style="thin">
          <color auto="1"/>
        </right>
        <top style="thin">
          <color auto="1"/>
        </top>
        <bottom style="thin">
          <color auto="1"/>
        </bottom>
      </border>
    </dxf>
    <dxf>
      <font>
        <b/>
        <i val="0"/>
        <color theme="0"/>
      </font>
      <fill>
        <patternFill>
          <bgColor rgb="FF0070C0"/>
        </patternFill>
      </fill>
      <border>
        <left style="thin">
          <color auto="1"/>
        </left>
        <right style="thin">
          <color auto="1"/>
        </right>
        <top style="thin">
          <color auto="1"/>
        </top>
        <bottom style="thin">
          <color auto="1"/>
        </bottom>
      </border>
    </dxf>
    <dxf>
      <font>
        <b/>
        <i val="0"/>
      </font>
      <fill>
        <patternFill>
          <bgColor theme="0" tint="-0.24994659260841701"/>
        </patternFill>
      </fill>
      <border>
        <left style="thin">
          <color auto="1"/>
        </left>
        <right style="thin">
          <color auto="1"/>
        </right>
        <top style="thin">
          <color auto="1"/>
        </top>
        <bottom style="thin">
          <color auto="1"/>
        </bottom>
      </border>
    </dxf>
    <dxf>
      <font>
        <b/>
        <i val="0"/>
        <color theme="0"/>
      </font>
      <fill>
        <patternFill>
          <bgColor rgb="FFFF0000"/>
        </patternFill>
      </fill>
    </dxf>
    <dxf>
      <font>
        <b/>
        <i val="0"/>
        <color rgb="FFFF0000"/>
      </font>
      <fill>
        <patternFill>
          <bgColor rgb="FFFFFFCC"/>
        </patternFill>
      </fill>
    </dxf>
    <dxf>
      <font>
        <b/>
        <i val="0"/>
        <color theme="0"/>
      </font>
      <fill>
        <patternFill>
          <bgColor rgb="FFFF0000"/>
        </patternFill>
      </fill>
    </dxf>
    <dxf>
      <font>
        <b/>
        <i val="0"/>
        <color rgb="FFFF0000"/>
      </font>
      <fill>
        <patternFill>
          <bgColor rgb="FFFFFF99"/>
        </patternFill>
      </fill>
    </dxf>
    <dxf>
      <font>
        <b val="0"/>
        <family val="3"/>
      </font>
      <numFmt numFmtId="181" formatCode="yyyy/m/d\ h:mm;;"/>
      <alignment horizontal="center" vertical="center" textRotation="0" wrapText="0" indent="0" justifyLastLine="0" shrinkToFit="0" readingOrder="0"/>
    </dxf>
    <dxf>
      <font>
        <b val="0"/>
        <family val="3"/>
      </font>
      <numFmt numFmtId="179" formatCode="yyyy/m/d;;"/>
      <alignment horizontal="center" vertical="center" textRotation="0" wrapText="0" indent="0" justifyLastLine="0" shrinkToFit="0" readingOrder="0"/>
    </dxf>
    <dxf>
      <font>
        <b val="0"/>
        <family val="3"/>
      </font>
      <numFmt numFmtId="179" formatCode="yyyy/m/d;;"/>
      <alignment horizontal="center" vertical="center" textRotation="0" wrapText="0" indent="0" justifyLastLine="0" shrinkToFit="0" readingOrder="0"/>
    </dxf>
    <dxf>
      <font>
        <b val="0"/>
        <family val="3"/>
      </font>
      <numFmt numFmtId="179" formatCode="yyyy/m/d;;"/>
      <alignment horizontal="center" vertical="center" textRotation="0" wrapText="0" indent="0" justifyLastLine="0" shrinkToFit="0" readingOrder="0"/>
    </dxf>
    <dxf>
      <font>
        <b val="0"/>
        <family val="3"/>
      </font>
      <numFmt numFmtId="179" formatCode="yyyy/m/d;;"/>
      <alignment horizontal="center" vertical="center" textRotation="0" wrapText="0" indent="0" justifyLastLine="0" shrinkToFit="0" readingOrder="0"/>
    </dxf>
    <dxf>
      <font>
        <b val="0"/>
        <family val="3"/>
      </font>
      <numFmt numFmtId="179" formatCode="yyyy/m/d;;"/>
      <alignment horizontal="center" vertical="center" textRotation="0" wrapText="0" indent="0" justifyLastLine="0" shrinkToFit="0" readingOrder="0"/>
    </dxf>
    <dxf>
      <font>
        <b val="0"/>
        <family val="3"/>
      </font>
      <numFmt numFmtId="180" formatCode="General;;"/>
      <alignment horizontal="left" vertical="center" textRotation="0" wrapText="0" indent="0" justifyLastLine="0" shrinkToFit="0" readingOrder="0"/>
    </dxf>
    <dxf>
      <font>
        <b val="0"/>
        <family val="3"/>
      </font>
      <numFmt numFmtId="180" formatCode="General;;"/>
      <alignment horizontal="left" vertical="center" textRotation="0" wrapText="0" indent="0" justifyLastLine="0" shrinkToFit="0" readingOrder="0"/>
    </dxf>
    <dxf>
      <font>
        <b val="0"/>
        <family val="3"/>
      </font>
      <numFmt numFmtId="180" formatCode="General;;"/>
      <alignment horizontal="center" vertical="center" textRotation="0" wrapText="0" indent="0" justifyLastLine="0" shrinkToFit="0" readingOrder="0"/>
    </dxf>
    <dxf>
      <font>
        <b/>
        <strike val="0"/>
        <outline val="0"/>
        <shadow val="0"/>
        <u val="none"/>
        <vertAlign val="baseline"/>
        <sz val="12"/>
        <color theme="1"/>
        <name val="Meiryo UI"/>
        <family val="3"/>
        <charset val="128"/>
        <scheme val="none"/>
      </font>
      <numFmt numFmtId="180" formatCode="General;;"/>
      <fill>
        <patternFill patternType="solid">
          <fgColor indexed="64"/>
          <bgColor rgb="FFFFFF00"/>
        </patternFill>
      </fill>
      <alignment horizontal="center" vertical="center" textRotation="0" wrapText="0" indent="0" justifyLastLine="0" shrinkToFit="0" readingOrder="0"/>
    </dxf>
    <dxf>
      <font>
        <b val="0"/>
        <family val="3"/>
      </font>
      <numFmt numFmtId="180" formatCode="General;;"/>
      <alignment horizontal="left" vertical="center" textRotation="0" wrapText="0" indent="0" justifyLastLine="0" shrinkToFit="0" readingOrder="0"/>
    </dxf>
    <dxf>
      <font>
        <b val="0"/>
        <family val="3"/>
      </font>
      <numFmt numFmtId="180" formatCode="General;;"/>
      <alignment horizontal="left" vertical="center" textRotation="0" wrapText="0" indent="0" justifyLastLine="0" shrinkToFit="0" readingOrder="0"/>
    </dxf>
    <dxf>
      <font>
        <b val="0"/>
        <family val="3"/>
      </font>
      <numFmt numFmtId="180" formatCode="General;;"/>
      <alignment horizontal="left" vertical="center" textRotation="0" wrapText="0" indent="0" justifyLastLine="0" shrinkToFit="0" readingOrder="0"/>
    </dxf>
    <dxf>
      <font>
        <b val="0"/>
        <family val="3"/>
      </font>
      <numFmt numFmtId="180" formatCode="General;;"/>
      <alignment horizontal="left" vertical="center" textRotation="0" wrapText="0" indent="0" justifyLastLine="0" shrinkToFit="0" readingOrder="0"/>
    </dxf>
    <dxf>
      <font>
        <b val="0"/>
        <family val="3"/>
      </font>
      <numFmt numFmtId="180" formatCode="General;;"/>
      <alignment horizontal="left" vertical="center" textRotation="0" wrapText="0" indent="0" justifyLastLine="0" shrinkToFit="0" readingOrder="0"/>
    </dxf>
    <dxf>
      <font>
        <b val="0"/>
        <family val="3"/>
      </font>
      <numFmt numFmtId="180" formatCode="General;;"/>
      <alignment horizontal="center" vertical="center" textRotation="0" wrapText="0" indent="0" justifyLastLine="0" shrinkToFit="0" readingOrder="0"/>
    </dxf>
    <dxf>
      <font>
        <b val="0"/>
        <family val="3"/>
      </font>
      <numFmt numFmtId="180" formatCode="General;;"/>
      <alignment horizontal="left" vertical="center" textRotation="0" wrapText="0" indent="0" justifyLastLine="0" shrinkToFit="1" readingOrder="0"/>
    </dxf>
    <dxf>
      <font>
        <b val="0"/>
        <family val="3"/>
      </font>
      <numFmt numFmtId="180" formatCode="General;;"/>
      <alignment horizontal="center" vertical="center" textRotation="0" wrapText="0" indent="0" justifyLastLine="0" shrinkToFit="0" readingOrder="0"/>
    </dxf>
    <dxf>
      <font>
        <b/>
        <strike val="0"/>
        <outline val="0"/>
        <shadow val="0"/>
        <u/>
        <vertAlign val="baseline"/>
        <sz val="10"/>
        <color rgb="FF0000FF"/>
        <name val="Meiryo UI"/>
        <family val="3"/>
        <charset val="128"/>
        <scheme val="none"/>
      </font>
      <numFmt numFmtId="180" formatCode="General;;"/>
      <alignment horizontal="center" vertical="center" textRotation="0" wrapText="0" indent="0" justifyLastLine="0" shrinkToFit="0" readingOrder="0"/>
    </dxf>
    <dxf>
      <font>
        <b val="0"/>
        <family val="3"/>
      </font>
      <numFmt numFmtId="180" formatCode="General;;"/>
      <alignment horizontal="left" vertical="center" textRotation="0" wrapText="0" indent="0" justifyLastLine="0" shrinkToFit="0" readingOrder="0"/>
    </dxf>
    <dxf>
      <font>
        <b val="0"/>
        <family val="3"/>
      </font>
      <numFmt numFmtId="200" formatCode="m/d/yyyy"/>
      <alignment horizontal="center" vertical="center" textRotation="0" wrapText="0" indent="0" justifyLastLine="0" shrinkToFit="0" readingOrder="0"/>
    </dxf>
    <dxf>
      <font>
        <b/>
        <i val="0"/>
        <color theme="1"/>
      </font>
      <fill>
        <patternFill>
          <bgColor rgb="FFFFC000"/>
        </patternFill>
      </fill>
      <border>
        <left style="thin">
          <color auto="1"/>
        </left>
        <right style="thin">
          <color auto="1"/>
        </right>
        <top style="thin">
          <color auto="1"/>
        </top>
        <bottom style="thin">
          <color auto="1"/>
        </bottom>
        <vertical/>
        <horizontal/>
      </border>
    </dxf>
    <dxf>
      <font>
        <b/>
        <i val="0"/>
        <color theme="0"/>
      </font>
      <fill>
        <patternFill>
          <bgColor rgb="FF0070C0"/>
        </patternFill>
      </fill>
      <border>
        <left style="thin">
          <color auto="1"/>
        </left>
        <right style="thin">
          <color auto="1"/>
        </right>
        <top style="thin">
          <color auto="1"/>
        </top>
        <bottom style="thin">
          <color auto="1"/>
        </bottom>
        <vertical/>
        <horizontal/>
      </border>
    </dxf>
    <dxf>
      <font>
        <color theme="0"/>
      </font>
      <fill>
        <patternFill>
          <bgColor rgb="FFFF0000"/>
        </patternFill>
      </fill>
    </dxf>
    <dxf>
      <font>
        <b/>
        <i val="0"/>
        <color theme="0"/>
      </font>
      <fill>
        <patternFill>
          <bgColor rgb="FFFF0000"/>
        </patternFill>
      </fill>
      <border>
        <left style="thin">
          <color auto="1"/>
        </left>
        <right style="thin">
          <color auto="1"/>
        </right>
        <top style="thin">
          <color auto="1"/>
        </top>
        <bottom style="thin">
          <color auto="1"/>
        </bottom>
      </border>
    </dxf>
    <dxf>
      <font>
        <b/>
        <i val="0"/>
        <color theme="0"/>
      </font>
      <fill>
        <patternFill>
          <bgColor rgb="FFC00000"/>
        </patternFill>
      </fill>
      <border>
        <left style="thin">
          <color auto="1"/>
        </left>
        <right style="thin">
          <color auto="1"/>
        </right>
        <top style="thin">
          <color auto="1"/>
        </top>
        <bottom style="thin">
          <color auto="1"/>
        </bottom>
      </border>
    </dxf>
    <dxf>
      <font>
        <b/>
        <i val="0"/>
        <color theme="1"/>
      </font>
      <fill>
        <patternFill>
          <bgColor theme="0" tint="-4.9989318521683403E-2"/>
        </patternFill>
      </fill>
      <border>
        <left style="thin">
          <color auto="1"/>
        </left>
        <right style="thin">
          <color auto="1"/>
        </right>
        <top style="thin">
          <color auto="1"/>
        </top>
        <bottom style="thin">
          <color auto="1"/>
        </bottom>
      </border>
    </dxf>
    <dxf>
      <font>
        <b/>
        <i val="0"/>
        <color theme="1"/>
      </font>
      <fill>
        <patternFill>
          <bgColor theme="9" tint="0.59996337778862885"/>
        </patternFill>
      </fill>
      <border>
        <left style="thin">
          <color auto="1"/>
        </left>
        <right style="thin">
          <color auto="1"/>
        </right>
        <top style="thin">
          <color auto="1"/>
        </top>
        <bottom style="thin">
          <color auto="1"/>
        </bottom>
        <vertical/>
        <horizontal/>
      </border>
    </dxf>
    <dxf>
      <font>
        <b/>
        <i val="0"/>
        <color theme="1"/>
      </font>
      <fill>
        <patternFill>
          <bgColor rgb="FFFFC000"/>
        </patternFill>
      </fill>
      <border>
        <left style="thin">
          <color auto="1"/>
        </left>
        <right style="thin">
          <color auto="1"/>
        </right>
        <top style="thin">
          <color auto="1"/>
        </top>
        <bottom style="thin">
          <color auto="1"/>
        </bottom>
        <vertical/>
        <horizontal/>
      </border>
    </dxf>
    <dxf>
      <font>
        <b/>
        <i val="0"/>
        <color theme="1"/>
      </font>
      <fill>
        <patternFill>
          <bgColor rgb="FFFFFF00"/>
        </patternFill>
      </fill>
      <border>
        <left style="thin">
          <color auto="1"/>
        </left>
        <right style="thin">
          <color auto="1"/>
        </right>
        <top style="thin">
          <color auto="1"/>
        </top>
        <bottom style="thin">
          <color auto="1"/>
        </bottom>
        <vertical/>
        <horizontal/>
      </border>
    </dxf>
    <dxf>
      <font>
        <b/>
        <i val="0"/>
        <color theme="0"/>
      </font>
      <fill>
        <patternFill>
          <bgColor rgb="FF0070C0"/>
        </patternFill>
      </fill>
      <border>
        <left style="thin">
          <color auto="1"/>
        </left>
        <right style="thin">
          <color auto="1"/>
        </right>
        <top style="thin">
          <color auto="1"/>
        </top>
        <bottom style="thin">
          <color auto="1"/>
        </bottom>
        <vertical/>
        <horizontal/>
      </border>
    </dxf>
    <dxf>
      <font>
        <b/>
        <i val="0"/>
        <color theme="1"/>
      </font>
      <fill>
        <patternFill>
          <bgColor rgb="FFFF66FF"/>
        </patternFill>
      </fill>
      <border>
        <left style="thin">
          <color auto="1"/>
        </left>
        <right style="thin">
          <color auto="1"/>
        </right>
        <top style="thin">
          <color auto="1"/>
        </top>
        <bottom style="thin">
          <color auto="1"/>
        </bottom>
        <vertical/>
        <horizontal/>
      </border>
    </dxf>
    <dxf>
      <font>
        <b/>
        <i val="0"/>
        <color theme="1"/>
      </font>
      <fill>
        <patternFill>
          <bgColor theme="7" tint="0.39994506668294322"/>
        </patternFill>
      </fill>
      <border>
        <left style="thin">
          <color auto="1"/>
        </left>
        <right style="thin">
          <color auto="1"/>
        </right>
        <top style="thin">
          <color auto="1"/>
        </top>
        <bottom style="thin">
          <color auto="1"/>
        </bottom>
        <vertical/>
        <horizontal/>
      </border>
    </dxf>
    <dxf>
      <font>
        <b/>
        <i val="0"/>
        <color rgb="FFFF0000"/>
      </font>
      <fill>
        <patternFill>
          <bgColor theme="1" tint="4.9989318521683403E-2"/>
        </patternFill>
      </fill>
      <border>
        <left style="thin">
          <color auto="1"/>
        </left>
        <right style="thin">
          <color auto="1"/>
        </right>
        <top style="thin">
          <color auto="1"/>
        </top>
        <bottom style="thin">
          <color auto="1"/>
        </bottom>
        <vertical/>
        <horizontal/>
      </border>
    </dxf>
    <dxf>
      <font>
        <b/>
        <i val="0"/>
        <color theme="0"/>
      </font>
      <fill>
        <patternFill>
          <bgColor theme="8" tint="-0.24994659260841701"/>
        </patternFill>
      </fill>
      <border>
        <left style="thin">
          <color auto="1"/>
        </left>
        <right style="thin">
          <color auto="1"/>
        </right>
        <top style="thin">
          <color auto="1"/>
        </top>
        <bottom style="thin">
          <color auto="1"/>
        </bottom>
        <vertical/>
        <horizontal/>
      </border>
    </dxf>
    <dxf>
      <font>
        <b/>
        <i val="0"/>
        <color theme="0"/>
      </font>
      <fill>
        <patternFill>
          <bgColor theme="1"/>
        </patternFill>
      </fill>
      <border>
        <left style="thin">
          <color auto="1"/>
        </left>
        <right style="thin">
          <color auto="1"/>
        </right>
        <top style="thin">
          <color auto="1"/>
        </top>
        <bottom style="thin">
          <color auto="1"/>
        </bottom>
        <vertical/>
        <horizontal/>
      </border>
    </dxf>
    <dxf>
      <font>
        <b/>
        <i val="0"/>
        <color theme="1"/>
      </font>
      <fill>
        <patternFill>
          <bgColor theme="2" tint="-0.24994659260841701"/>
        </patternFill>
      </fill>
      <border>
        <left style="thin">
          <color auto="1"/>
        </left>
        <right style="thin">
          <color auto="1"/>
        </right>
        <top style="thin">
          <color auto="1"/>
        </top>
        <bottom style="thin">
          <color auto="1"/>
        </bottom>
        <vertical/>
        <horizontal/>
      </border>
    </dxf>
  </dxfs>
  <tableStyles count="0" defaultTableStyle="TableStyleMedium2" defaultPivotStyle="PivotStyleLight16"/>
  <colors>
    <mruColors>
      <color rgb="FFFF66FF"/>
      <color rgb="FF0000FF"/>
      <color rgb="FFFF9933"/>
      <color rgb="FF0066FF"/>
      <color rgb="FF00FF00"/>
      <color rgb="FFFFFFCC"/>
      <color rgb="FF66FF99"/>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microsoft.com/office/2017/06/relationships/rdRichValueTypes" Target="richData/rdRichValueTypes.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microsoft.com/office/2017/06/relationships/rdRichValueStructure" Target="richData/rdrichvaluestructure.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microsoft.com/office/2017/06/relationships/rdRichValue" Target="richData/rdrichvalue.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sheetMetadata" Target="metadata.xml"/><Relationship Id="rId28" Type="http://schemas.microsoft.com/office/2006/relationships/vbaProject" Target="vbaProject.bin"/><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 Id="rId27" Type="http://schemas.openxmlformats.org/officeDocument/2006/relationships/calcChain" Target="calcChain.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Button" lockText="1"/>
</file>

<file path=xl/ctrlProps/ctrlProp12.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552450</xdr:colOff>
          <xdr:row>11</xdr:row>
          <xdr:rowOff>209550</xdr:rowOff>
        </xdr:from>
        <xdr:to>
          <xdr:col>1</xdr:col>
          <xdr:colOff>1552575</xdr:colOff>
          <xdr:row>13</xdr:row>
          <xdr:rowOff>38100</xdr:rowOff>
        </xdr:to>
        <xdr:sp macro="" textlink="">
          <xdr:nvSpPr>
            <xdr:cNvPr id="3074" name="Button 2" hidden="1">
              <a:extLst>
                <a:ext uri="{63B3BB69-23CF-44E3-9099-C40C66FF867C}">
                  <a14:compatExt spid="_x0000_s3074"/>
                </a:ext>
                <a:ext uri="{FF2B5EF4-FFF2-40B4-BE49-F238E27FC236}">
                  <a16:creationId xmlns:a16="http://schemas.microsoft.com/office/drawing/2014/main" id="{00000000-0008-0000-0100-000002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ja-JP" altLang="en-US" sz="1200" b="1" i="0" u="none" strike="noStrike" baseline="0">
                  <a:solidFill>
                    <a:srgbClr val="000000"/>
                  </a:solidFill>
                  <a:latin typeface="Meiryo UI"/>
                  <a:ea typeface="Meiryo UI"/>
                </a:rPr>
                <a:t>リスト更新</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552450</xdr:colOff>
          <xdr:row>16</xdr:row>
          <xdr:rowOff>85725</xdr:rowOff>
        </xdr:from>
        <xdr:to>
          <xdr:col>1</xdr:col>
          <xdr:colOff>1552575</xdr:colOff>
          <xdr:row>17</xdr:row>
          <xdr:rowOff>180975</xdr:rowOff>
        </xdr:to>
        <xdr:sp macro="" textlink="">
          <xdr:nvSpPr>
            <xdr:cNvPr id="3078" name="Button 6" hidden="1">
              <a:extLst>
                <a:ext uri="{63B3BB69-23CF-44E3-9099-C40C66FF867C}">
                  <a14:compatExt spid="_x0000_s3078"/>
                </a:ext>
                <a:ext uri="{FF2B5EF4-FFF2-40B4-BE49-F238E27FC236}">
                  <a16:creationId xmlns:a16="http://schemas.microsoft.com/office/drawing/2014/main" id="{00000000-0008-0000-0100-000006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ja-JP" altLang="en-US" sz="1200" b="1" i="0" u="none" strike="noStrike" baseline="0">
                  <a:solidFill>
                    <a:srgbClr val="000000"/>
                  </a:solidFill>
                  <a:latin typeface="Meiryo UI"/>
                  <a:ea typeface="Meiryo UI"/>
                </a:rPr>
                <a:t>個別取得</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19050</xdr:colOff>
          <xdr:row>47</xdr:row>
          <xdr:rowOff>76200</xdr:rowOff>
        </xdr:from>
        <xdr:to>
          <xdr:col>1</xdr:col>
          <xdr:colOff>2085975</xdr:colOff>
          <xdr:row>48</xdr:row>
          <xdr:rowOff>171450</xdr:rowOff>
        </xdr:to>
        <xdr:sp macro="" textlink="">
          <xdr:nvSpPr>
            <xdr:cNvPr id="3086" name="Button 14" hidden="1">
              <a:extLst>
                <a:ext uri="{63B3BB69-23CF-44E3-9099-C40C66FF867C}">
                  <a14:compatExt spid="_x0000_s3086"/>
                </a:ext>
                <a:ext uri="{FF2B5EF4-FFF2-40B4-BE49-F238E27FC236}">
                  <a16:creationId xmlns:a16="http://schemas.microsoft.com/office/drawing/2014/main" id="{00000000-0008-0000-0100-00000E0C0000}"/>
                </a:ext>
              </a:extLst>
            </xdr:cNvPr>
            <xdr:cNvSpPr/>
          </xdr:nvSpPr>
          <xdr:spPr bwMode="auto">
            <a:xfrm>
              <a:off x="0" y="0"/>
              <a:ext cx="0" cy="0"/>
            </a:xfrm>
            <a:prstGeom prst="rect">
              <a:avLst/>
            </a:prstGeom>
            <a:noFill/>
            <a:ln w="9525">
              <a:miter lim="800000"/>
              <a:headEnd/>
              <a:tailEnd/>
            </a:ln>
          </xdr:spPr>
          <xdr:txBody>
            <a:bodyPr vertOverflow="clip" wrap="square" lIns="36576" tIns="27432" rIns="36576" bIns="27432" anchor="ctr" upright="1"/>
            <a:lstStyle/>
            <a:p>
              <a:pPr algn="ctr" rtl="0">
                <a:defRPr sz="1000"/>
              </a:pPr>
              <a:r>
                <a:rPr lang="ja-JP" altLang="en-US" sz="1200" b="1" i="0" u="none" strike="noStrike" baseline="0">
                  <a:solidFill>
                    <a:srgbClr val="000000"/>
                  </a:solidFill>
                  <a:latin typeface="Meiryo UI"/>
                  <a:ea typeface="Meiryo UI"/>
                </a:rPr>
                <a:t>ユーザーリスト更新</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714375</xdr:colOff>
          <xdr:row>3</xdr:row>
          <xdr:rowOff>219075</xdr:rowOff>
        </xdr:from>
        <xdr:to>
          <xdr:col>7</xdr:col>
          <xdr:colOff>3105150</xdr:colOff>
          <xdr:row>6</xdr:row>
          <xdr:rowOff>9525</xdr:rowOff>
        </xdr:to>
        <xdr:sp macro="" textlink="">
          <xdr:nvSpPr>
            <xdr:cNvPr id="7171" name="Button 3" hidden="1">
              <a:extLst>
                <a:ext uri="{63B3BB69-23CF-44E3-9099-C40C66FF867C}">
                  <a14:compatExt spid="_x0000_s7171"/>
                </a:ext>
                <a:ext uri="{FF2B5EF4-FFF2-40B4-BE49-F238E27FC236}">
                  <a16:creationId xmlns:a16="http://schemas.microsoft.com/office/drawing/2014/main" id="{00000000-0008-0000-0200-0000031C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ja-JP" altLang="en-US" sz="1600" b="1" i="0" u="none" strike="noStrike" baseline="0">
                  <a:solidFill>
                    <a:srgbClr val="000000"/>
                  </a:solidFill>
                  <a:latin typeface="Meiryo UI"/>
                  <a:ea typeface="Meiryo UI"/>
                </a:rPr>
                <a:t>一括ダウンロード開始</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466725</xdr:colOff>
          <xdr:row>4</xdr:row>
          <xdr:rowOff>114300</xdr:rowOff>
        </xdr:from>
        <xdr:to>
          <xdr:col>1</xdr:col>
          <xdr:colOff>2857500</xdr:colOff>
          <xdr:row>7</xdr:row>
          <xdr:rowOff>76200</xdr:rowOff>
        </xdr:to>
        <xdr:sp macro="" textlink="">
          <xdr:nvSpPr>
            <xdr:cNvPr id="9221" name="Button 5" hidden="1">
              <a:extLst>
                <a:ext uri="{63B3BB69-23CF-44E3-9099-C40C66FF867C}">
                  <a14:compatExt spid="_x0000_s9221"/>
                </a:ext>
                <a:ext uri="{FF2B5EF4-FFF2-40B4-BE49-F238E27FC236}">
                  <a16:creationId xmlns:a16="http://schemas.microsoft.com/office/drawing/2014/main" id="{00000000-0008-0000-0300-00000524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ja-JP" altLang="en-US" sz="1600" b="1" i="0" u="none" strike="noStrike" baseline="0">
                  <a:solidFill>
                    <a:srgbClr val="000000"/>
                  </a:solidFill>
                  <a:latin typeface="Meiryo UI"/>
                  <a:ea typeface="Meiryo UI"/>
                </a:rPr>
                <a:t>一括ダウンロード開始</a:t>
              </a:r>
            </a:p>
          </xdr:txBody>
        </xdr:sp>
        <xdr:clientData fPrintsWithSheet="0"/>
      </xdr:twoCellAnchor>
    </mc:Choice>
    <mc:Fallback/>
  </mc:AlternateContent>
</xdr:wsDr>
</file>

<file path=xl/drawings/drawing4.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323850</xdr:colOff>
          <xdr:row>0</xdr:row>
          <xdr:rowOff>76200</xdr:rowOff>
        </xdr:from>
        <xdr:to>
          <xdr:col>1</xdr:col>
          <xdr:colOff>381000</xdr:colOff>
          <xdr:row>1</xdr:row>
          <xdr:rowOff>142875</xdr:rowOff>
        </xdr:to>
        <xdr:sp macro="" textlink="">
          <xdr:nvSpPr>
            <xdr:cNvPr id="10241" name="Button 1" hidden="1">
              <a:extLst>
                <a:ext uri="{63B3BB69-23CF-44E3-9099-C40C66FF867C}">
                  <a14:compatExt spid="_x0000_s10241"/>
                </a:ext>
                <a:ext uri="{FF2B5EF4-FFF2-40B4-BE49-F238E27FC236}">
                  <a16:creationId xmlns:a16="http://schemas.microsoft.com/office/drawing/2014/main" id="{00000000-0008-0000-0400-0000012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ja-JP" altLang="en-US" sz="1000" b="0" i="0" u="none" strike="noStrike" baseline="0">
                  <a:solidFill>
                    <a:srgbClr val="000000"/>
                  </a:solidFill>
                  <a:latin typeface="Meiryo UI"/>
                  <a:ea typeface="Meiryo UI"/>
                </a:rPr>
                <a:t>更新</a:t>
              </a:r>
            </a:p>
          </xdr:txBody>
        </xdr:sp>
        <xdr:clientData fPrintsWithSheet="0"/>
      </xdr:twoCellAnchor>
    </mc:Choice>
    <mc:Fallback/>
  </mc:AlternateContent>
</xdr:wsDr>
</file>

<file path=xl/drawings/drawing5.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0</xdr:col>
          <xdr:colOff>314325</xdr:colOff>
          <xdr:row>5</xdr:row>
          <xdr:rowOff>200025</xdr:rowOff>
        </xdr:from>
        <xdr:to>
          <xdr:col>2</xdr:col>
          <xdr:colOff>28575</xdr:colOff>
          <xdr:row>7</xdr:row>
          <xdr:rowOff>257175</xdr:rowOff>
        </xdr:to>
        <xdr:sp macro="" textlink="">
          <xdr:nvSpPr>
            <xdr:cNvPr id="26626" name="Button 2" hidden="1">
              <a:extLst>
                <a:ext uri="{63B3BB69-23CF-44E3-9099-C40C66FF867C}">
                  <a14:compatExt spid="_x0000_s26626"/>
                </a:ext>
                <a:ext uri="{FF2B5EF4-FFF2-40B4-BE49-F238E27FC236}">
                  <a16:creationId xmlns:a16="http://schemas.microsoft.com/office/drawing/2014/main" id="{00000000-0008-0000-0500-00000268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ja-JP" altLang="en-US" sz="1600" b="1" i="0" u="none" strike="noStrike" baseline="0">
                  <a:solidFill>
                    <a:srgbClr val="000000"/>
                  </a:solidFill>
                  <a:latin typeface="Meiryo UI"/>
                  <a:ea typeface="Meiryo UI"/>
                </a:rPr>
                <a:t>追変WFファイルDL</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xdr:col>
          <xdr:colOff>257175</xdr:colOff>
          <xdr:row>0</xdr:row>
          <xdr:rowOff>381000</xdr:rowOff>
        </xdr:from>
        <xdr:to>
          <xdr:col>1</xdr:col>
          <xdr:colOff>3209925</xdr:colOff>
          <xdr:row>3</xdr:row>
          <xdr:rowOff>19050</xdr:rowOff>
        </xdr:to>
        <xdr:sp macro="" textlink="">
          <xdr:nvSpPr>
            <xdr:cNvPr id="26627" name="Button 3" hidden="1">
              <a:extLst>
                <a:ext uri="{63B3BB69-23CF-44E3-9099-C40C66FF867C}">
                  <a14:compatExt spid="_x0000_s26627"/>
                </a:ext>
                <a:ext uri="{FF2B5EF4-FFF2-40B4-BE49-F238E27FC236}">
                  <a16:creationId xmlns:a16="http://schemas.microsoft.com/office/drawing/2014/main" id="{00000000-0008-0000-0500-000003680000}"/>
                </a:ext>
              </a:extLst>
            </xdr:cNvPr>
            <xdr:cNvSpPr/>
          </xdr:nvSpPr>
          <xdr:spPr bwMode="auto">
            <a:xfrm>
              <a:off x="0" y="0"/>
              <a:ext cx="0" cy="0"/>
            </a:xfrm>
            <a:prstGeom prst="rect">
              <a:avLst/>
            </a:prstGeom>
            <a:noFill/>
            <a:ln w="9525">
              <a:miter lim="800000"/>
              <a:headEnd/>
              <a:tailEnd/>
            </a:ln>
          </xdr:spPr>
          <xdr:txBody>
            <a:bodyPr vertOverflow="clip" wrap="square" lIns="45720" tIns="32004" rIns="45720" bIns="32004" anchor="ctr" upright="1"/>
            <a:lstStyle/>
            <a:p>
              <a:pPr algn="ctr" rtl="0">
                <a:defRPr sz="1000"/>
              </a:pPr>
              <a:r>
                <a:rPr lang="ja-JP" altLang="en-US" sz="1400" b="1" i="0" u="none" strike="noStrike" baseline="0">
                  <a:solidFill>
                    <a:srgbClr val="000000"/>
                  </a:solidFill>
                  <a:latin typeface="Meiryo UI"/>
                  <a:ea typeface="Meiryo UI"/>
                </a:rPr>
                <a:t>全追変WFリスト取得</a:t>
              </a:r>
            </a:p>
            <a:p>
              <a:pPr algn="ctr" rtl="0">
                <a:defRPr sz="1000"/>
              </a:pPr>
              <a:r>
                <a:rPr lang="ja-JP" altLang="en-US" sz="1400" b="1" i="0" u="none" strike="noStrike" baseline="0">
                  <a:solidFill>
                    <a:srgbClr val="000000"/>
                  </a:solidFill>
                  <a:latin typeface="Meiryo UI"/>
                  <a:ea typeface="Meiryo UI"/>
                </a:rPr>
                <a:t>※承認済み除く</a:t>
              </a:r>
            </a:p>
          </xdr:txBody>
        </xdr:sp>
        <xdr:clientData fPrintsWithSheet="0"/>
      </xdr:twoCellAnchor>
    </mc:Choice>
    <mc:Fallback/>
  </mc:AlternateContent>
</xdr:wsDr>
</file>

<file path=xl/drawings/drawing6.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76200</xdr:colOff>
          <xdr:row>1</xdr:row>
          <xdr:rowOff>66675</xdr:rowOff>
        </xdr:from>
        <xdr:to>
          <xdr:col>3</xdr:col>
          <xdr:colOff>171450</xdr:colOff>
          <xdr:row>2</xdr:row>
          <xdr:rowOff>200025</xdr:rowOff>
        </xdr:to>
        <xdr:sp macro="" textlink="">
          <xdr:nvSpPr>
            <xdr:cNvPr id="29697" name="Button 1" hidden="1">
              <a:extLst>
                <a:ext uri="{63B3BB69-23CF-44E3-9099-C40C66FF867C}">
                  <a14:compatExt spid="_x0000_s29697"/>
                </a:ext>
                <a:ext uri="{FF2B5EF4-FFF2-40B4-BE49-F238E27FC236}">
                  <a16:creationId xmlns:a16="http://schemas.microsoft.com/office/drawing/2014/main" id="{00000000-0008-0000-0800-00000174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ja-JP" altLang="en-US" sz="1800" b="1" i="0" u="none" strike="noStrike" baseline="0">
                  <a:solidFill>
                    <a:srgbClr val="000000"/>
                  </a:solidFill>
                  <a:latin typeface="Meiryo UI"/>
                  <a:ea typeface="Meiryo UI"/>
                </a:rPr>
                <a:t>PDF保存</a:t>
              </a:r>
            </a:p>
          </xdr:txBody>
        </xdr:sp>
        <xdr:clientData fPrintsWithSheet="0"/>
      </xdr:twoCellAnchor>
    </mc:Choice>
    <mc:Fallback/>
  </mc:AlternateContent>
</xdr:wsDr>
</file>

<file path=xl/drawings/drawing7.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342900</xdr:colOff>
          <xdr:row>0</xdr:row>
          <xdr:rowOff>152400</xdr:rowOff>
        </xdr:from>
        <xdr:to>
          <xdr:col>13</xdr:col>
          <xdr:colOff>638175</xdr:colOff>
          <xdr:row>1</xdr:row>
          <xdr:rowOff>257175</xdr:rowOff>
        </xdr:to>
        <xdr:sp macro="" textlink="">
          <xdr:nvSpPr>
            <xdr:cNvPr id="31746" name="Button 2" hidden="1">
              <a:extLst>
                <a:ext uri="{63B3BB69-23CF-44E3-9099-C40C66FF867C}">
                  <a14:compatExt spid="_x0000_s31746"/>
                </a:ext>
                <a:ext uri="{FF2B5EF4-FFF2-40B4-BE49-F238E27FC236}">
                  <a16:creationId xmlns:a16="http://schemas.microsoft.com/office/drawing/2014/main" id="{00000000-0008-0000-0900-0000027C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ja-JP" altLang="en-US" sz="1800" b="1" i="0" u="none" strike="noStrike" baseline="0">
                  <a:solidFill>
                    <a:srgbClr val="000000"/>
                  </a:solidFill>
                  <a:latin typeface="Meiryo UI"/>
                  <a:ea typeface="Meiryo UI"/>
                </a:rPr>
                <a:t>PDF保存</a:t>
              </a:r>
            </a:p>
          </xdr:txBody>
        </xdr:sp>
        <xdr:clientData fPrintsWithSheet="0"/>
      </xdr:twoCellAnchor>
    </mc:Choice>
    <mc:Fallback/>
  </mc:AlternateContent>
</xdr:wsDr>
</file>

<file path=xl/drawings/drawing8.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12</xdr:col>
          <xdr:colOff>342900</xdr:colOff>
          <xdr:row>0</xdr:row>
          <xdr:rowOff>152400</xdr:rowOff>
        </xdr:from>
        <xdr:to>
          <xdr:col>13</xdr:col>
          <xdr:colOff>638175</xdr:colOff>
          <xdr:row>1</xdr:row>
          <xdr:rowOff>257175</xdr:rowOff>
        </xdr:to>
        <xdr:sp macro="" textlink="">
          <xdr:nvSpPr>
            <xdr:cNvPr id="30721" name="Button 1" hidden="1">
              <a:extLst>
                <a:ext uri="{63B3BB69-23CF-44E3-9099-C40C66FF867C}">
                  <a14:compatExt spid="_x0000_s30721"/>
                </a:ext>
                <a:ext uri="{FF2B5EF4-FFF2-40B4-BE49-F238E27FC236}">
                  <a16:creationId xmlns:a16="http://schemas.microsoft.com/office/drawing/2014/main" id="{00000000-0008-0000-0A00-000001780000}"/>
                </a:ext>
              </a:extLst>
            </xdr:cNvPr>
            <xdr:cNvSpPr/>
          </xdr:nvSpPr>
          <xdr:spPr bwMode="auto">
            <a:xfrm>
              <a:off x="0" y="0"/>
              <a:ext cx="0" cy="0"/>
            </a:xfrm>
            <a:prstGeom prst="rect">
              <a:avLst/>
            </a:prstGeom>
            <a:noFill/>
            <a:ln w="9525">
              <a:miter lim="800000"/>
              <a:headEnd/>
              <a:tailEnd/>
            </a:ln>
          </xdr:spPr>
          <xdr:txBody>
            <a:bodyPr vertOverflow="clip" wrap="square" lIns="45720" tIns="36576" rIns="45720" bIns="36576" anchor="ctr" upright="1"/>
            <a:lstStyle/>
            <a:p>
              <a:pPr algn="ctr" rtl="0">
                <a:defRPr sz="1000"/>
              </a:pPr>
              <a:r>
                <a:rPr lang="ja-JP" altLang="en-US" sz="1800" b="1" i="0" u="none" strike="noStrike" baseline="0">
                  <a:solidFill>
                    <a:srgbClr val="000000"/>
                  </a:solidFill>
                  <a:latin typeface="Meiryo UI"/>
                  <a:ea typeface="Meiryo UI"/>
                </a:rPr>
                <a:t>PDF保存</a:t>
              </a:r>
            </a:p>
          </xdr:txBody>
        </xdr:sp>
        <xdr:clientData fPrintsWithSheet="0"/>
      </xdr:twoCellAnchor>
    </mc:Choice>
    <mc:Fallback/>
  </mc:AlternateContent>
</xdr:wsDr>
</file>

<file path=xl/drawings/drawing9.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14</xdr:col>
          <xdr:colOff>485775</xdr:colOff>
          <xdr:row>31</xdr:row>
          <xdr:rowOff>47625</xdr:rowOff>
        </xdr:from>
        <xdr:to>
          <xdr:col>16</xdr:col>
          <xdr:colOff>457200</xdr:colOff>
          <xdr:row>35</xdr:row>
          <xdr:rowOff>104775</xdr:rowOff>
        </xdr:to>
        <xdr:sp macro="" textlink="">
          <xdr:nvSpPr>
            <xdr:cNvPr id="34817" name="Button 1" hidden="1">
              <a:extLst>
                <a:ext uri="{63B3BB69-23CF-44E3-9099-C40C66FF867C}">
                  <a14:compatExt spid="_x0000_s34817"/>
                </a:ext>
                <a:ext uri="{FF2B5EF4-FFF2-40B4-BE49-F238E27FC236}">
                  <a16:creationId xmlns:a16="http://schemas.microsoft.com/office/drawing/2014/main" id="{00000000-0008-0000-1200-000001880000}"/>
                </a:ext>
              </a:extLst>
            </xdr:cNvPr>
            <xdr:cNvSpPr/>
          </xdr:nvSpPr>
          <xdr:spPr bwMode="auto">
            <a:xfrm>
              <a:off x="0" y="0"/>
              <a:ext cx="0" cy="0"/>
            </a:xfrm>
            <a:prstGeom prst="rect">
              <a:avLst/>
            </a:prstGeom>
            <a:noFill/>
            <a:ln w="9525">
              <a:miter lim="800000"/>
              <a:headEnd/>
              <a:tailEnd/>
            </a:ln>
          </xdr:spPr>
          <xdr:txBody>
            <a:bodyPr vertOverflow="clip" wrap="square" lIns="27432" tIns="22860" rIns="27432" bIns="22860" anchor="ctr" upright="1"/>
            <a:lstStyle/>
            <a:p>
              <a:pPr algn="ctr" rtl="0">
                <a:defRPr sz="1000"/>
              </a:pPr>
              <a:r>
                <a:rPr lang="ja-JP" altLang="en-US" sz="1000" b="0" i="0" u="none" strike="noStrike" baseline="0">
                  <a:solidFill>
                    <a:srgbClr val="000000"/>
                  </a:solidFill>
                  <a:latin typeface="Meiryo UI"/>
                  <a:ea typeface="Meiryo UI"/>
                </a:rPr>
                <a:t>ボタン 1</a:t>
              </a:r>
            </a:p>
          </xdr:txBody>
        </xdr:sp>
        <xdr:clientData fPrintsWithSheet="0"/>
      </xdr:twoCellAnchor>
    </mc:Choice>
    <mc:Fallback/>
  </mc:AlternateContent>
</xdr:wsDr>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13</v>
    <v>3</v>
  </rv>
</rvData>
</file>

<file path=xl/richData/rdrichvaluestructure.xml><?xml version="1.0" encoding="utf-8"?>
<rvStructures xmlns="http://schemas.microsoft.com/office/spreadsheetml/2017/richdata" count="1">
  <s t="_error">
    <k n="errorType" t="i"/>
    <k n="subType" t="i"/>
  </s>
</rvStructure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7CEA0E8C-3243-46D0-9B2F-6E1C82FDEB29}" name="MSSリスト" displayName="MSSリスト" ref="D2:V104" totalsRowShown="0" headerRowDxfId="161" dataDxfId="160">
  <autoFilter ref="D2:V104" xr:uid="{7CEA0E8C-3243-46D0-9B2F-6E1C82FDEB29}">
    <filterColumn colId="0" hiddenButton="1"/>
    <filterColumn colId="1" hiddenButton="1"/>
    <filterColumn colId="2" hiddenButton="1"/>
    <filterColumn colId="3" hiddenButton="1"/>
    <filterColumn colId="4" hiddenButton="1"/>
    <filterColumn colId="5" hiddenButton="1"/>
    <filterColumn colId="6" hiddenButton="1"/>
    <filterColumn colId="7" hiddenButton="1"/>
    <filterColumn colId="8" hiddenButton="1"/>
    <filterColumn colId="9" hiddenButton="1"/>
    <filterColumn colId="10" hiddenButton="1"/>
    <filterColumn colId="11" hiddenButton="1"/>
    <filterColumn colId="12" hiddenButton="1"/>
    <filterColumn colId="13" hiddenButton="1"/>
    <filterColumn colId="14" hiddenButton="1"/>
    <filterColumn colId="15" hiddenButton="1"/>
    <filterColumn colId="16" hiddenButton="1"/>
    <filterColumn colId="17" hiddenButton="1"/>
    <filterColumn colId="18" hiddenButton="1"/>
  </autoFilter>
  <sortState xmlns:xlrd2="http://schemas.microsoft.com/office/spreadsheetml/2017/richdata2" ref="D3:V104">
    <sortCondition descending="1" ref="V2:V104"/>
  </sortState>
  <tableColumns count="19">
    <tableColumn id="1" xr3:uid="{4F98CA10-4C08-4D4A-9910-82C50B3414B2}" name="ID" dataDxfId="159">
      <calculatedColumnFormula>IF(MSSリスト!B3&lt;&gt;"",HYPERLINK("https://nextoffice.next-hd.co.jp/pleasanter/items/"&amp;MSSリスト!B3&amp;"/edit","開く"),"")</calculatedColumnFormula>
    </tableColumn>
    <tableColumn id="2" xr3:uid="{4A183963-54BC-4811-B59B-23B05A4650A6}" name="ステータス" dataDxfId="158">
      <calculatedColumnFormula>_xlfn.IFNA(VLOOKUP(MSSリスト!C3,ステータス一覧[],MATCH("ステータス",ステータス一覧[#Headers],0),FALSE),"")</calculatedColumnFormula>
    </tableColumn>
    <tableColumn id="3" xr3:uid="{BB2885DD-F0EE-4812-916F-ED43E36DD822}" name="タイトル" dataDxfId="157">
      <calculatedColumnFormula>MSSリスト!D3</calculatedColumnFormula>
    </tableColumn>
    <tableColumn id="4" xr3:uid="{FE0AC942-A92E-4F8A-B73D-231B64CB8918}" name="シート分類" dataDxfId="156">
      <calculatedColumnFormula>_xlfn.IFNA(VLOOKUP(MSSリスト!E3,シート分類一覧[],MATCH("種別",シート分類一覧[#Headers],0),FALSE),"")</calculatedColumnFormula>
    </tableColumn>
    <tableColumn id="5" xr3:uid="{5E33420A-2BD7-499E-ACFA-A988D3A601A9}" name="契約営業所" dataDxfId="155">
      <calculatedColumnFormula>_xlfn.IFNA(VLOOKUP(MSSリスト!F3,営業所リスト[],MATCH("店舗名",営業所リスト[#Headers],0),FALSE),"")</calculatedColumnFormula>
    </tableColumn>
    <tableColumn id="6" xr3:uid="{29E39371-E373-4AC9-817A-FC249DED4F0D}" name="主担当営業" dataDxfId="154">
      <calculatedColumnFormula>_xlfn.IFNA(VLOOKUP(MSSリスト!G3,社員リスト[],MATCH("名前",社員リスト[#Headers],0),FALSE),"")</calculatedColumnFormula>
    </tableColumn>
    <tableColumn id="19" xr3:uid="{E1531CBD-44D2-4B36-82B6-B3B408EA3164}" name="管理設計" dataDxfId="153">
      <calculatedColumnFormula>_xlfn.IFNA(VLOOKUP(MSSリスト!H3,社員リスト[],MATCH("名前",社員リスト[#Headers],0),FALSE),"")</calculatedColumnFormula>
    </tableColumn>
    <tableColumn id="18" xr3:uid="{34ED8D54-F687-4541-B286-8967201A22E1}" name="所属長" dataDxfId="152">
      <calculatedColumnFormula>_xlfn.IFNA(VLOOKUP(MSSリスト!I3,社員リスト[],MATCH("名前",社員リスト[#Headers],0),FALSE),"")</calculatedColumnFormula>
    </tableColumn>
    <tableColumn id="17" xr3:uid="{C3F3FB2D-8118-4561-9FBA-159F29E2F5E1}" name="担当役員" dataDxfId="151">
      <calculatedColumnFormula>_xlfn.IFNA(VLOOKUP(MSSリスト!J3,社員リスト[],MATCH("名前",社員リスト[#Headers],0),FALSE),"")</calculatedColumnFormula>
    </tableColumn>
    <tableColumn id="7" xr3:uid="{2A03474C-4ACC-487B-843A-512BC67BD804}" name="契約コード" dataDxfId="150">
      <calculatedColumnFormula>MSSリスト!K3</calculatedColumnFormula>
    </tableColumn>
    <tableColumn id="8" xr3:uid="{FE3183B2-5E56-4ED7-A6BC-85FD4B58E0BF}" name="設計契約" dataDxfId="149">
      <calculatedColumnFormula>IF(MSSリスト!L3="","",_xlfn.IFNA(VLOOKUP(MSSリスト!L3,設計契約リスト[],MATCH("設計契約",設計契約リスト[#Headers],0),FALSE),""))</calculatedColumnFormula>
    </tableColumn>
    <tableColumn id="9" xr3:uid="{F449FE5D-1371-4E12-BEB9-5443E91AD799}" name="契約ブランド" dataDxfId="148">
      <calculatedColumnFormula>_xlfn.IFNA(VLOOKUP(MSSリスト!M3,契約ブランドリスト[],MATCH("ブランド",契約ブランドリスト[#Headers],0),FALSE),"")</calculatedColumnFormula>
    </tableColumn>
    <tableColumn id="10" xr3:uid="{27FB4A4A-1530-4502-9BC4-304EE9F0FD75}" name="工事名" dataDxfId="147">
      <calculatedColumnFormula>MSSリスト!N3</calculatedColumnFormula>
    </tableColumn>
    <tableColumn id="11" xr3:uid="{0831024A-EEC5-4606-A44E-71FDB2D229D1}" name="本契約日" dataDxfId="146">
      <calculatedColumnFormula>MSSリスト!O3</calculatedColumnFormula>
    </tableColumn>
    <tableColumn id="12" xr3:uid="{661B43E9-BA67-4536-AE1E-F9518BF6681E}" name="設計契約日" dataDxfId="145">
      <calculatedColumnFormula>MSSリスト!P3</calculatedColumnFormula>
    </tableColumn>
    <tableColumn id="13" xr3:uid="{4A4A4513-A7AA-4F70-9153-FA32E359B5B9}" name="着工予定日" dataDxfId="144">
      <calculatedColumnFormula>MSSリスト!Q3</calculatedColumnFormula>
    </tableColumn>
    <tableColumn id="14" xr3:uid="{424E052D-AD2A-4F0E-981A-534C3886D2F0}" name="上棟予定日" dataDxfId="143">
      <calculatedColumnFormula>MSSリスト!R3</calculatedColumnFormula>
    </tableColumn>
    <tableColumn id="15" xr3:uid="{22AB6F2A-B489-4F8F-8BFE-44FF7AA8BA11}" name="引渡予定参考日" dataDxfId="142">
      <calculatedColumnFormula>MSSリスト!S3</calculatedColumnFormula>
    </tableColumn>
    <tableColumn id="16" xr3:uid="{AC176A20-05F7-4231-BB47-AA57AE6564D5}" name="最終更新日" dataDxfId="141">
      <calculatedColumnFormula>MSSリスト!T3</calculatedColumnFormula>
    </tableColumn>
  </tableColumns>
  <tableStyleInfo name="TableStyleMedium16"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0" xr:uid="{5783B42D-6C20-4CFC-AFA7-2111DFE60259}" name="テーブル20" displayName="テーブル20" ref="D2:M102" totalsRowShown="0" headerRowDxfId="131" dataDxfId="130">
  <autoFilter ref="D2:M102" xr:uid="{5783B42D-6C20-4CFC-AFA7-2111DFE60259}"/>
  <tableColumns count="10">
    <tableColumn id="1" xr3:uid="{E732ABFF-9625-4F70-B9E5-04CB8EC135CE}" name="URL" dataDxfId="129">
      <calculatedColumnFormula>IF(T!A2&lt;&gt;"",HYPERLINK("https://nextoffice.next-hd.co.jp/pleasanter/items/"&amp;T!A2&amp;"/edit","開く"),"")</calculatedColumnFormula>
    </tableColumn>
    <tableColumn id="10" xr3:uid="{7953E115-EB8E-4391-B180-505E64296C21}" name="ID" dataDxfId="128">
      <calculatedColumnFormula>T!A2</calculatedColumnFormula>
    </tableColumn>
    <tableColumn id="2" xr3:uid="{5947C8B4-07EB-434F-A7E5-FD8980AFAAA6}" name="エリア" dataDxfId="127">
      <calculatedColumnFormula>_xlfn.XLOOKUP(_xlfn.XLOOKUP(テーブル20[[#This Row],[ID]],T!$A:$A,T!$AK:$AK,"",0),エリア一覧[ID],エリア一覧[エリア],"",0)</calculatedColumnFormula>
    </tableColumn>
    <tableColumn id="3" xr3:uid="{8CB8C8FB-16F0-4B74-9BD2-C4591A9BF3DF}" name="ステータス" dataDxfId="126">
      <calculatedColumnFormula>_xlfn.XLOOKUP(_xlfn.XLOOKUP(テーブル20[[#This Row],[ID]],T!$A:$A,T!$B:$B,"",0),追変ステータス[ステータスID],追変ステータス[ステータス],"",0)</calculatedColumnFormula>
    </tableColumn>
    <tableColumn id="4" xr3:uid="{DA4DF9D9-1777-4C00-B2A8-97DF25A0BDA2}" name="件名" dataDxfId="125">
      <calculatedColumnFormula>_xlfn.XLOOKUP(テーブル20[[#This Row],[ID]],T!$A:$A,T!$N:$N,"",0)</calculatedColumnFormula>
    </tableColumn>
    <tableColumn id="5" xr3:uid="{0D9E2BEC-49D8-45A8-ADA6-EA83A2D2E908}" name="担当者" dataDxfId="124">
      <calculatedColumnFormula>_xlfn.XLOOKUP(_xlfn.XLOOKUP(テーブル20[[#This Row],[ID]],T!$A:$A,T!$AT:$AT,"",0),社員リスト[ユーザID],社員リスト[名前],"",0)</calculatedColumnFormula>
    </tableColumn>
    <tableColumn id="6" xr3:uid="{6F016301-C267-4A48-A834-EB3D7CF08005}" name="契約コード" dataDxfId="123">
      <calculatedColumnFormula>_xlfn.XLOOKUP(テーブル20[[#This Row],[ID]],T!$A:$A,T!$I:$I,"",0)</calculatedColumnFormula>
    </tableColumn>
    <tableColumn id="7" xr3:uid="{C863579F-A18A-4870-B1E6-D45CD59335B1}" name="物件区分" dataDxfId="122">
      <calculatedColumnFormula>_xlfn.XLOOKUP(テーブル20[[#This Row],[ID]],T!$A:$A,T!$AI:$AI,"",0)</calculatedColumnFormula>
    </tableColumn>
    <tableColumn id="8" xr3:uid="{DFC46FF5-B086-4E69-951D-D785DB707423}" name="承認期限" dataDxfId="121">
      <calculatedColumnFormula>_xlfn.XLOOKUP(テーブル20[[#This Row],[ID]],T!$A:$A,T!$AN:$AN,"",0)</calculatedColumnFormula>
    </tableColumn>
    <tableColumn id="9" xr3:uid="{EF43E67D-DD7E-4D92-8363-DFE410F8C747}" name="引渡予定日" dataDxfId="120">
      <calculatedColumnFormula>_xlfn.XLOOKUP(テーブル20[[#This Row],[ID]],T!$A:$A,T!$AO:$AO,"",0)</calculatedColumnFormula>
    </tableColumn>
  </tableColumns>
  <tableStyleInfo name="TableStyleMedium17" showFirstColumn="0" showLastColumn="0" showRowStripes="1" showColumnStripes="0"/>
</table>
</file>

<file path=xl/tables/table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3" xr:uid="{EF74E9D2-6856-4A28-B6A3-12F4513B4AAC}" name="[R]休日フラグ" displayName="[R]休日フラグ" ref="CI4:CJ18" totalsRowShown="0" headerRowDxfId="111" dataDxfId="110">
  <autoFilter ref="CI4:CJ18" xr:uid="{EB054824-7050-4EAA-871F-EE98A4382FCC}"/>
  <tableColumns count="2">
    <tableColumn id="1" xr3:uid="{B0F2EC2A-4408-454A-8AD3-41CFBB7D9EB0}" name="休日" dataDxfId="109"/>
    <tableColumn id="2" xr3:uid="{C4BE604D-DC74-4B6B-88AE-A312DFB5C1A3}" name="フラグ" dataDxfId="108"/>
  </tableColumns>
  <tableStyleInfo name="TableStyleMedium16" showFirstColumn="0" showLastColumn="0" showRowStripes="1" showColumnStripes="0"/>
</table>
</file>

<file path=xl/tables/table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7" xr:uid="{F34D1DDE-FFA1-473A-AEA5-F2516309E45E}" name="[R]祝日テーブル" displayName="[R]祝日テーブル" ref="CL4:CM282" totalsRowShown="0" headerRowDxfId="107" dataDxfId="106">
  <autoFilter ref="CL4:CM282" xr:uid="{0E28A2D8-1286-4AFE-94E5-E6F1723D6026}"/>
  <tableColumns count="2">
    <tableColumn id="1" xr3:uid="{290D3057-33B4-42AC-A1C6-412600FEB57C}" name="祝日" dataDxfId="105"/>
    <tableColumn id="2" xr3:uid="{A4397B0D-00F3-4C67-9CAD-B7D1814AF926}" name="内容" dataDxfId="104"/>
  </tableColumns>
  <tableStyleInfo name="TableStyleMedium16" showFirstColumn="0" showLastColumn="0" showRowStripes="1" showColumnStripes="0"/>
</table>
</file>

<file path=xl/tables/table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8" xr:uid="{FF8F36E6-9149-4A56-8244-4E3A3476027C}" name="[R]図面確定用日程" displayName="[R]図面確定用日程" ref="CO4:CP112" totalsRowShown="0" headerRowDxfId="103" dataDxfId="102">
  <autoFilter ref="CO4:CP112" xr:uid="{0998E47C-B33E-445E-8E14-231C9D6AF764}"/>
  <tableColumns count="2">
    <tableColumn id="1" xr3:uid="{7928E6B4-2394-4B57-994B-00A624E63FD2}" name="図確用日程" dataDxfId="101"/>
    <tableColumn id="2" xr3:uid="{59AB4743-8753-44F5-9126-AB49472F50DC}" name="内容" dataDxfId="100"/>
  </tableColumns>
  <tableStyleInfo name="TableStyleMedium17" showFirstColumn="0" showLastColumn="0" showRowStripes="1" showColumnStripes="0"/>
</table>
</file>

<file path=xl/tables/table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3" xr:uid="{2D7F7904-EAF8-4057-9709-AEAA1F7EAF35}" name="ステータス一覧" displayName="ステータス一覧" ref="B35:D58" totalsRowShown="0" headerRowDxfId="98" dataDxfId="97">
  <autoFilter ref="B35:D58" xr:uid="{2D7F7904-EAF8-4057-9709-AEAA1F7EAF35}"/>
  <tableColumns count="3">
    <tableColumn id="1" xr3:uid="{30C9997F-C703-433D-A0FB-9A61ADF51529}" name="ステータスID" dataDxfId="96"/>
    <tableColumn id="2" xr3:uid="{C3B610BC-EDB7-4609-9945-97D1F433B1B3}" name="ステータス" dataDxfId="95"/>
    <tableColumn id="3" xr3:uid="{8145D9FD-6E4B-4203-A087-BF38A50100B6}" name="ID" dataDxfId="94"/>
  </tableColumns>
  <tableStyleInfo name="TableStyleMedium16" showFirstColumn="0" showLastColumn="0" showRowStripes="1" showColumnStripes="0"/>
</table>
</file>

<file path=xl/tables/table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4" xr:uid="{B8D935D3-3E5F-4BBC-9D2C-EC303D16EB57}" name="シート分類一覧" displayName="シート分類一覧" ref="I36:J38" totalsRowShown="0" headerRowDxfId="93" dataDxfId="92">
  <autoFilter ref="I36:J38" xr:uid="{B8D935D3-3E5F-4BBC-9D2C-EC303D16EB57}"/>
  <tableColumns count="2">
    <tableColumn id="1" xr3:uid="{4238A156-49E2-4E8D-8E82-632A68503882}" name="シート分類" dataDxfId="91"/>
    <tableColumn id="2" xr3:uid="{FD44D3BC-C4CA-42D3-B8C8-4145A13B1954}" name="種別" dataDxfId="90"/>
  </tableColumns>
  <tableStyleInfo name="TableStyleMedium16" showFirstColumn="0" showLastColumn="0" showRowStripes="1" showColumnStripes="0"/>
</table>
</file>

<file path=xl/tables/table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5" xr:uid="{61D45BE2-7783-48B9-840E-5B778903CB7C}" name="営業所リスト" displayName="営業所リスト" ref="B3:O28" totalsRowShown="0" headerRowDxfId="89" dataDxfId="88">
  <autoFilter ref="B3:O28" xr:uid="{61D45BE2-7783-48B9-840E-5B778903CB7C}"/>
  <sortState xmlns:xlrd2="http://schemas.microsoft.com/office/spreadsheetml/2017/richdata2" ref="B4:O27">
    <sortCondition ref="C3:C27"/>
  </sortState>
  <tableColumns count="14">
    <tableColumn id="1" xr3:uid="{0F0ACD51-FE3B-4AE1-8029-D624FF419D2B}" name="ID" dataDxfId="87"/>
    <tableColumn id="2" xr3:uid="{8AABBC4A-EF03-4368-9811-FB28EB5B6B7F}" name="店舗名" dataDxfId="86"/>
    <tableColumn id="3" xr3:uid="{03CFE3FC-6130-43AA-9C97-1747B4E54B98}" name="主ブランド" dataDxfId="85"/>
    <tableColumn id="4" xr3:uid="{25D769F1-F10F-4ECB-878D-F3029CC18384}" name="営業所" dataDxfId="84"/>
    <tableColumn id="5" xr3:uid="{2B4F209E-AC49-4F40-A0EA-47F880F1942E}" name="住所1" dataDxfId="83"/>
    <tableColumn id="6" xr3:uid="{B3D90EBD-25A4-4E37-B2C4-8514464B2C2F}" name="住所2" dataDxfId="82"/>
    <tableColumn id="7" xr3:uid="{EB702703-76B9-4ECC-9AE4-286086AA16B9}" name="電話番号" dataDxfId="81"/>
    <tableColumn id="8" xr3:uid="{D401CB51-ECE1-4D76-A4AF-E350F85267E4}" name="FAX番号" dataDxfId="80"/>
    <tableColumn id="9" xr3:uid="{38F6176E-A5B2-45A3-AA03-FB604A02C4D3}" name="所長" dataDxfId="79"/>
    <tableColumn id="10" xr3:uid="{1521515E-3A29-4962-8BC6-53DAA346040A}" name="振込先" dataDxfId="78"/>
    <tableColumn id="11" xr3:uid="{10AB5B65-42D1-4040-A900-5A748C93EA14}" name="エリア" dataDxfId="77"/>
    <tableColumn id="12" xr3:uid="{F61C3560-74E3-4A98-A0B8-708DFC5B6EBC}" name="所長1" dataDxfId="76"/>
    <tableColumn id="13" xr3:uid="{8B84C530-F56B-4538-9C53-33A87C2100FC}" name="計上店舗名" dataDxfId="75"/>
    <tableColumn id="14" xr3:uid="{ABFFF209-8AF2-454D-960E-2C660D1E7B5D}" name="組織名" dataDxfId="74"/>
  </tableColumns>
  <tableStyleInfo name="TableStyleMedium18" showFirstColumn="0" showLastColumn="0" showRowStripes="1" showColumnStripes="0"/>
</table>
</file>

<file path=xl/tables/table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6" xr:uid="{0E9FCBFA-5B26-4E2B-B325-2CCDB4E12640}" name="社員リスト" displayName="社員リスト" ref="R3:W528" totalsRowShown="0" headerRowDxfId="73" dataDxfId="72">
  <autoFilter ref="R3:W528" xr:uid="{0E9FCBFA-5B26-4E2B-B325-2CCDB4E12640}"/>
  <sortState xmlns:xlrd2="http://schemas.microsoft.com/office/spreadsheetml/2017/richdata2" ref="R4:W4">
    <sortCondition ref="U3:U4"/>
  </sortState>
  <tableColumns count="6">
    <tableColumn id="1" xr3:uid="{CA2717F8-446E-44F8-9724-7E26F6A441A5}" name="ユーザID" dataDxfId="71"/>
    <tableColumn id="2" xr3:uid="{A156A448-64DC-4D1D-AC58-5B977AC53207}" name="ログインID" dataDxfId="70"/>
    <tableColumn id="3" xr3:uid="{9F5E0645-A074-41DF-A145-B4F31C90993E}" name="名前" dataDxfId="69"/>
    <tableColumn id="4" xr3:uid="{FC9226A5-9284-4978-B73B-AFBF35802C29}" name="組織コード" dataDxfId="68"/>
    <tableColumn id="5" xr3:uid="{D477E969-3748-4593-8D3F-35D743BE3299}" name="組織" dataDxfId="67"/>
    <tableColumn id="6" xr3:uid="{8224D870-62A4-4DD5-8208-A0693866CD3F}" name="メールアドレス" dataDxfId="66"/>
  </tableColumns>
  <tableStyleInfo name="TableStyleMedium19" showFirstColumn="0" showLastColumn="0" showRowStripes="1" showColumnStripes="0"/>
</table>
</file>

<file path=xl/tables/table1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7" xr:uid="{9FA9EF3B-0C80-43CF-8E80-BF46127C7B65}" name="設計契約リスト" displayName="設計契約リスト" ref="I43:J45" totalsRowShown="0" headerRowDxfId="65" dataDxfId="64">
  <autoFilter ref="I43:J45" xr:uid="{9FA9EF3B-0C80-43CF-8E80-BF46127C7B65}"/>
  <tableColumns count="2">
    <tableColumn id="1" xr3:uid="{EBFCAF63-4D2D-40D8-A61B-BA9AD1107208}" name="コード" dataDxfId="63"/>
    <tableColumn id="2" xr3:uid="{0249EB24-250D-4D20-8720-2EDE5FD07063}" name="設計契約" dataDxfId="62"/>
  </tableColumns>
  <tableStyleInfo name="TableStyleMedium16" showFirstColumn="0" showLastColumn="0" showRowStripes="1" showColumnStripes="0"/>
</table>
</file>

<file path=xl/tables/table1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8" xr:uid="{168F35AD-7793-47CA-B441-05F6451A664F}" name="契約ブランドリスト" displayName="契約ブランドリスト" ref="L35:M44" totalsRowShown="0" headerRowDxfId="61" dataDxfId="60">
  <autoFilter ref="L35:M44" xr:uid="{168F35AD-7793-47CA-B441-05F6451A664F}"/>
  <tableColumns count="2">
    <tableColumn id="1" xr3:uid="{2BC908BC-FDEA-4BE7-8A51-F2E4776544C5}" name="ID" dataDxfId="59"/>
    <tableColumn id="2" xr3:uid="{3EB2CF5F-37FA-4564-9741-319D6FADCE70}" name="ブランド" dataDxfId="58"/>
  </tableColumns>
  <tableStyleInfo name="TableStyleMedium17" showFirstColumn="0" showLastColumn="0" showRowStripes="1" showColumnStripes="0"/>
</table>
</file>

<file path=xl/tables/table1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9" xr:uid="{3B5033C1-A446-4BEB-8D5A-5FD8BFD933F0}" name="役員リスト" displayName="役員リスト" ref="B69:D78" totalsRowShown="0" headerRowDxfId="57" dataDxfId="56">
  <autoFilter ref="B69:D78" xr:uid="{3B5033C1-A446-4BEB-8D5A-5FD8BFD933F0}"/>
  <tableColumns count="3">
    <tableColumn id="1" xr3:uid="{ADFDD79D-3C11-4A3E-AA34-D95C699FD479}" name="ユーザID" dataDxfId="55"/>
    <tableColumn id="2" xr3:uid="{2CF5274E-1E61-4727-A430-9754BC4F9DD6}" name="ログインID" dataDxfId="54"/>
    <tableColumn id="3" xr3:uid="{E8B75144-E145-459A-AA06-60815110A6E9}" name="名前" dataDxfId="53"/>
  </tableColumns>
  <tableStyleInfo name="TableStyleMedium16" showFirstColumn="0" showLastColumn="0" showRowStripes="1" showColumnStripes="0"/>
</table>
</file>

<file path=xl/tables/table1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1" xr:uid="{430B3D62-CFF3-4824-9EEC-A2D868CF4D8A}" name="設計リスト" displayName="設計リスト" ref="Z3:AE31" totalsRowShown="0" headerRowDxfId="52" dataDxfId="51">
  <autoFilter ref="Z3:AE31" xr:uid="{430B3D62-CFF3-4824-9EEC-A2D868CF4D8A}"/>
  <tableColumns count="6">
    <tableColumn id="1" xr3:uid="{4633EC49-9705-472C-A569-641C25C2B0FD}" name="ユーザID" dataDxfId="50"/>
    <tableColumn id="2" xr3:uid="{FA99DABC-466E-48F3-86C7-99E35731B742}" name="ログインID" dataDxfId="49"/>
    <tableColumn id="3" xr3:uid="{739DA8FE-62FB-4E08-B322-0DF5307E3EF4}" name="名前" dataDxfId="48"/>
    <tableColumn id="4" xr3:uid="{59F4F767-CB18-4524-9D17-2A7EB656FFAC}" name="組織コード" dataDxfId="47"/>
    <tableColumn id="5" xr3:uid="{0792E94F-E672-42CD-BA76-2F7FC200499C}" name="組織" dataDxfId="46"/>
    <tableColumn id="6" xr3:uid="{D6722395-CED1-4AEB-A58C-B4E660FE1648}" name="メールアドレス" dataDxfId="45"/>
  </tableColumns>
  <tableStyleInfo name="TableStyleMedium18" showFirstColumn="0" showLastColumn="0" showRowStripes="1" showColumnStripes="0"/>
</table>
</file>

<file path=xl/tables/table14.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D90FE4C0-E313-4853-9A72-926175057A0B}" name="集客" displayName="集客" ref="B83:D95" totalsRowShown="0" headerRowDxfId="44" dataDxfId="43">
  <autoFilter ref="B83:D95" xr:uid="{D90FE4C0-E313-4853-9A72-926175057A0B}"/>
  <tableColumns count="3">
    <tableColumn id="1" xr3:uid="{72E6B34F-6ADE-48DF-8384-FF1E4B130B8A}" name="ID" dataDxfId="42"/>
    <tableColumn id="2" xr3:uid="{C00BE628-229D-4018-95AE-C12742071802}" name="集客事由" dataDxfId="41"/>
    <tableColumn id="3" xr3:uid="{41C26F03-31FE-42BC-AA2A-C6E81FB18E4B}" name="大分類" dataDxfId="40"/>
  </tableColumns>
  <tableStyleInfo name="TableStyleMedium16" showFirstColumn="0" showLastColumn="0" showRowStripes="1" showColumnStripes="0"/>
</table>
</file>

<file path=xl/tables/table15.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0" xr:uid="{D7B13F0A-9C68-4A11-B01C-2873215E3DAC}" name="住宅性能評価一覧" displayName="住宅性能評価一覧" ref="B100:C105" totalsRowShown="0" headerRowDxfId="39" dataDxfId="38">
  <autoFilter ref="B100:C105" xr:uid="{D7B13F0A-9C68-4A11-B01C-2873215E3DAC}"/>
  <tableColumns count="2">
    <tableColumn id="1" xr3:uid="{14713D6E-10EE-431F-B1E5-D0512B21E51B}" name="ID" dataDxfId="37"/>
    <tableColumn id="2" xr3:uid="{192E5081-BA1D-4271-9CD9-CB33D37B792F}" name="住宅性能評価" dataDxfId="36"/>
  </tableColumns>
  <tableStyleInfo name="TableStyleMedium16" showFirstColumn="0" showLastColumn="0" showRowStripes="1" showColumnStripes="0"/>
</table>
</file>

<file path=xl/tables/table16.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2" xr:uid="{ACF98FD6-AF65-41BB-BCAC-231F6F283D25}" name="紹介種類一覧" displayName="紹介種類一覧" ref="B113:C121" totalsRowShown="0" headerRowDxfId="35" dataDxfId="34">
  <autoFilter ref="B113:C121" xr:uid="{ACF98FD6-AF65-41BB-BCAC-231F6F283D25}"/>
  <tableColumns count="2">
    <tableColumn id="1" xr3:uid="{788D027F-FF3F-4E67-ACB7-A62423A8A0E0}" name="ID" dataDxfId="33"/>
    <tableColumn id="2" xr3:uid="{535CE47F-ACE5-4E09-A80B-E04B353A1637}" name="紹介種類" dataDxfId="32"/>
  </tableColumns>
  <tableStyleInfo name="TableStyleMedium16" showFirstColumn="0" showLastColumn="0" showRowStripes="1" showColumnStripes="0"/>
</table>
</file>

<file path=xl/tables/table17.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4" xr:uid="{59C99882-94BD-4A8C-B21D-178E5A87778B}" name="建物保証一覧" displayName="建物保証一覧" ref="B126:C131" totalsRowShown="0" headerRowDxfId="31" dataDxfId="30">
  <autoFilter ref="B126:C131" xr:uid="{59C99882-94BD-4A8C-B21D-178E5A87778B}"/>
  <tableColumns count="2">
    <tableColumn id="1" xr3:uid="{FAADD8DF-4324-4918-9950-831C2283AC34}" name="ID" dataDxfId="29"/>
    <tableColumn id="2" xr3:uid="{34D3BE08-6E04-4DAF-9438-8F28C3130F83}" name="建物保証" dataDxfId="28"/>
  </tableColumns>
  <tableStyleInfo name="TableStyleMedium16" showFirstColumn="0" showLastColumn="0" showRowStripes="1" showColumnStripes="0"/>
</table>
</file>

<file path=xl/tables/table18.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5" xr:uid="{1DECF3E9-14F5-40EF-9C44-BCE9D3EA04EE}" name="保証年数一覧" displayName="保証年数一覧" ref="B136:C140" totalsRowShown="0" headerRowDxfId="27" dataDxfId="26">
  <autoFilter ref="B136:C140" xr:uid="{1DECF3E9-14F5-40EF-9C44-BCE9D3EA04EE}"/>
  <tableColumns count="2">
    <tableColumn id="1" xr3:uid="{21140F3C-66AB-45EB-AA01-D977BA8088BA}" name="ID" dataDxfId="25"/>
    <tableColumn id="2" xr3:uid="{0AFEA3C6-5D9B-4B76-BAF8-7BB66EA13E22}" name="保証年数" dataDxfId="24"/>
  </tableColumns>
  <tableStyleInfo name="TableStyleMedium16" showFirstColumn="0" showLastColumn="0" showRowStripes="1" showColumnStripes="0"/>
</table>
</file>

<file path=xl/tables/table19.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6" xr:uid="{C1444C1C-B043-469D-AD3C-E350260432E7}" name="瑕疵保険限度額一覧" displayName="瑕疵保険限度額一覧" ref="B144:C149" totalsRowShown="0" headerRowDxfId="23" dataDxfId="22">
  <autoFilter ref="B144:C149" xr:uid="{C1444C1C-B043-469D-AD3C-E350260432E7}"/>
  <tableColumns count="2">
    <tableColumn id="1" xr3:uid="{26FB3248-43C2-41D9-B380-A60963CA66B5}" name="ID" dataDxfId="21"/>
    <tableColumn id="2" xr3:uid="{05095CFC-8A9F-4949-8B77-0BC150B3B4C7}" name="限度額" dataDxfId="20"/>
  </tableColumns>
  <tableStyleInfo name="TableStyleMedium16" showFirstColumn="0" showLastColumn="0" showRowStripes="1" showColumnStripes="0"/>
</table>
</file>

<file path=xl/tables/table20.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9" xr:uid="{1B6080DF-C187-46BB-8B4F-3DA077D33CEA}" name="六曜テーブル" displayName="六曜テーブル" ref="AI3:AK12781" totalsRowShown="0" headerRowDxfId="19" dataDxfId="18">
  <autoFilter ref="AI3:AK12781" xr:uid="{1B6080DF-C187-46BB-8B4F-3DA077D33CEA}"/>
  <tableColumns count="3">
    <tableColumn id="1" xr3:uid="{D925002B-7A91-4F18-B9EA-33C3B50C6713}" name="年月日" dataDxfId="17"/>
    <tableColumn id="2" xr3:uid="{1F5A3074-4B84-4D86-ACA0-B91F099DEF4E}" name="曜日" dataDxfId="16"/>
    <tableColumn id="3" xr3:uid="{DADE0A14-60C7-42A7-B812-3CBA4334E435}" name="六曜" dataDxfId="15"/>
  </tableColumns>
  <tableStyleInfo name="TableStyleMedium17" showFirstColumn="0" showLastColumn="0" showRowStripes="1" showColumnStripes="0"/>
</table>
</file>

<file path=xl/tables/table2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1" xr:uid="{1620DB07-6E1D-4EF8-957F-6F64BA73B81E}" name="追変ステータス" displayName="追変ステータス" ref="J51:L56" totalsRowShown="0" headerRowDxfId="14" dataDxfId="13">
  <autoFilter ref="J51:L56" xr:uid="{1620DB07-6E1D-4EF8-957F-6F64BA73B81E}"/>
  <tableColumns count="3">
    <tableColumn id="1" xr3:uid="{BCF8E91E-66F5-4B64-A79C-1E3617A36F56}" name="ステータスID" dataDxfId="12"/>
    <tableColumn id="2" xr3:uid="{58EB798E-E40B-4530-80DE-2D29FC38E8D1}" name="ステータス" dataDxfId="11"/>
    <tableColumn id="3" xr3:uid="{1E227DF2-E6C0-4B25-9898-24A7999B01FA}" name="色" dataDxfId="10"/>
  </tableColumns>
  <tableStyleInfo name="TableStyleMedium17" showFirstColumn="0" showLastColumn="0" showRowStripes="1" showColumnStripes="0"/>
</table>
</file>

<file path=xl/tables/table2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2" xr:uid="{9ACC255E-A0BF-4DA6-8B6D-40B6D2112F17}" name="エリア一覧" displayName="エリア一覧" ref="I67:J73" totalsRowShown="0" headerRowDxfId="9" dataDxfId="8">
  <autoFilter ref="I67:J73" xr:uid="{9ACC255E-A0BF-4DA6-8B6D-40B6D2112F17}"/>
  <tableColumns count="2">
    <tableColumn id="1" xr3:uid="{043BB161-6540-4DBF-9714-B00AC3343AC0}" name="ID" dataDxfId="7"/>
    <tableColumn id="2" xr3:uid="{9F1A0586-B385-430B-AB43-1C1827E31533}" name="エリア" dataDxfId="6"/>
  </tableColumns>
  <tableStyleInfo name="TableStyleMedium17" showFirstColumn="0" showLastColumn="0" showRowStripes="1" showColumnStripes="0"/>
</table>
</file>

<file path=xl/tables/table23.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3" xr:uid="{D8C734B8-2154-4C0C-BAEA-DFF66EC2327F}" name="組織リスト" displayName="組織リスト" ref="AN3:AQ84" totalsRowShown="0" headerRowDxfId="5" dataDxfId="4">
  <autoFilter ref="AN3:AQ84" xr:uid="{D8C734B8-2154-4C0C-BAEA-DFF66EC2327F}"/>
  <tableColumns count="4">
    <tableColumn id="1" xr3:uid="{AEA4DEE4-8CC6-415B-BC6B-C2133EF55B6C}" name="組織ID" dataDxfId="3"/>
    <tableColumn id="2" xr3:uid="{4AF94547-7516-4E35-BDDA-4D2FE009C340}" name="組織コード" dataDxfId="2"/>
    <tableColumn id="3" xr3:uid="{A23891DE-C138-452B-A77D-CE16ACC81EF5}" name="組織名" dataDxfId="1"/>
    <tableColumn id="4" xr3:uid="{2C9D60E8-1A0C-4187-B9CE-F1801A6C8D91}" name="説明" dataDxfId="0"/>
  </tableColumns>
  <tableStyleInfo name="TableStyleMedium16" showFirstColumn="0" showLastColumn="0" showRowStripes="1" showColumnStripes="0"/>
</table>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2.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table" Target="../tables/table1.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3.xml.rels><?xml version="1.0" encoding="UTF-8" standalone="yes"?>
<Relationships xmlns="http://schemas.openxmlformats.org/package/2006/relationships"><Relationship Id="rId3" Type="http://schemas.openxmlformats.org/officeDocument/2006/relationships/ctrlProp" Target="../ctrlProps/ctrlProp4.xml"/><Relationship Id="rId2" Type="http://schemas.openxmlformats.org/officeDocument/2006/relationships/vmlDrawing" Target="../drawings/vmlDrawing2.vml"/><Relationship Id="rId1" Type="http://schemas.openxmlformats.org/officeDocument/2006/relationships/drawing" Target="../drawings/drawing2.xml"/></Relationships>
</file>

<file path=xl/worksheets/_rels/sheet4.xml.rels><?xml version="1.0" encoding="UTF-8" standalone="yes"?>
<Relationships xmlns="http://schemas.openxmlformats.org/package/2006/relationships"><Relationship Id="rId8" Type="http://schemas.openxmlformats.org/officeDocument/2006/relationships/drawing" Target="../drawings/drawing3.xml"/><Relationship Id="rId3" Type="http://schemas.openxmlformats.org/officeDocument/2006/relationships/hyperlink" Target="05A3BRONT&#9632;&#30000;&#20013;&#21213;&#20063;\425.&#25215;&#35469;&#22259;&#12539;&#35443;&#32048;&#22259;\&#20877;&#25215;&#35469;&#22259;&#12288;BRO&#12288;&#30000;&#20013;&#21213;&#20063;&#27096;&#37048;&#12288;09.04.pdf" TargetMode="External"/><Relationship Id="rId7" Type="http://schemas.openxmlformats.org/officeDocument/2006/relationships/hyperlink" Target="05A3BRONT&#9632;&#30000;&#20013;&#21213;&#20063;\425.&#25215;&#35469;&#22259;&#12539;&#35443;&#32048;&#22259;\11.30&#20877;&#25215;&#35469;&#22259;&#12288;BRO&#12288;&#30000;&#20013;&#21213;&#20063;&#27096;&#37048;.pdf" TargetMode="External"/><Relationship Id="rId2" Type="http://schemas.openxmlformats.org/officeDocument/2006/relationships/hyperlink" Target="05A3BRONT&#9632;&#30000;&#20013;&#21213;&#20063;\425.&#25215;&#35469;&#22259;&#12539;&#35443;&#32048;&#22259;\&#25215;&#35469;&#22259;&#12288;BRO&#12288;&#30000;&#20013;&#21213;&#20063;&#27096;&#37048;&#12288;08.19.pdf" TargetMode="External"/><Relationship Id="rId1" Type="http://schemas.openxmlformats.org/officeDocument/2006/relationships/hyperlink" Target="05A3BRONT&#9632;&#30000;&#20013;&#21213;&#20063;" TargetMode="External"/><Relationship Id="rId6" Type="http://schemas.openxmlformats.org/officeDocument/2006/relationships/hyperlink" Target="05A3BRONT&#9632;&#30000;&#20013;&#21213;&#20063;\425.&#25215;&#35469;&#22259;&#12539;&#35443;&#32048;&#22259;\11.14&#20877;&#25215;&#35469;&#22259;&#12288;BRO&#12288;&#30000;&#20013;&#21213;&#20063;&#27096;&#37048;.pdf" TargetMode="External"/><Relationship Id="rId5" Type="http://schemas.openxmlformats.org/officeDocument/2006/relationships/hyperlink" Target="05A3BRONT&#9632;&#30000;&#20013;&#21213;&#20063;\425.&#25215;&#35469;&#22259;&#12539;&#35443;&#32048;&#22259;\09.21&#20877;&#25215;&#35469;&#22259;&#12288;BRO&#12288;&#30000;&#20013;&#21213;&#20063;&#27096;&#37048;.pdf" TargetMode="External"/><Relationship Id="rId10" Type="http://schemas.openxmlformats.org/officeDocument/2006/relationships/ctrlProp" Target="../ctrlProps/ctrlProp5.xml"/><Relationship Id="rId4" Type="http://schemas.openxmlformats.org/officeDocument/2006/relationships/hyperlink" Target="05A3BRONT&#9632;&#30000;&#20013;&#21213;&#20063;\425.&#25215;&#35469;&#22259;&#12539;&#35443;&#32048;&#22259;\&#20877;&#25215;&#35469;&#22259;&#12288;BRO&#12288;&#30000;&#20013;&#21213;&#20063;&#27096;&#37048;&#12288;09.05.pdf" TargetMode="External"/><Relationship Id="rId9" Type="http://schemas.openxmlformats.org/officeDocument/2006/relationships/vmlDrawing" Target="../drawings/vmlDrawing3.vml"/></Relationships>
</file>

<file path=xl/worksheets/_rels/sheet5.xml.rels><?xml version="1.0" encoding="UTF-8" standalone="yes"?>
<Relationships xmlns="http://schemas.openxmlformats.org/package/2006/relationships"><Relationship Id="rId3" Type="http://schemas.openxmlformats.org/officeDocument/2006/relationships/ctrlProp" Target="../ctrlProps/ctrlProp6.xml"/><Relationship Id="rId2" Type="http://schemas.openxmlformats.org/officeDocument/2006/relationships/vmlDrawing" Target="../drawings/vmlDrawing4.vml"/><Relationship Id="rId1" Type="http://schemas.openxmlformats.org/officeDocument/2006/relationships/drawing" Target="../drawings/drawing4.xml"/></Relationships>
</file>

<file path=xl/worksheets/_rels/sheet6.xml.rels><?xml version="1.0" encoding="UTF-8" standalone="yes"?>
<Relationships xmlns="http://schemas.openxmlformats.org/package/2006/relationships"><Relationship Id="rId3" Type="http://schemas.openxmlformats.org/officeDocument/2006/relationships/ctrlProp" Target="../ctrlProps/ctrlProp7.xml"/><Relationship Id="rId2" Type="http://schemas.openxmlformats.org/officeDocument/2006/relationships/vmlDrawing" Target="../drawings/vmlDrawing5.vml"/><Relationship Id="rId1" Type="http://schemas.openxmlformats.org/officeDocument/2006/relationships/drawing" Target="../drawings/drawing5.xml"/><Relationship Id="rId5" Type="http://schemas.openxmlformats.org/officeDocument/2006/relationships/table" Target="../tables/table2.xml"/><Relationship Id="rId4" Type="http://schemas.openxmlformats.org/officeDocument/2006/relationships/ctrlProp" Target="../ctrlProps/ctrlProp8.xml"/></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9.xml.rels><?xml version="1.0" encoding="UTF-8" standalone="yes"?>
<Relationships xmlns="http://schemas.openxmlformats.org/package/2006/relationships"><Relationship Id="rId3" Type="http://schemas.openxmlformats.org/officeDocument/2006/relationships/vmlDrawing" Target="../drawings/vmlDrawing6.vml"/><Relationship Id="rId2" Type="http://schemas.openxmlformats.org/officeDocument/2006/relationships/drawing" Target="../drawings/drawing6.xml"/><Relationship Id="rId1" Type="http://schemas.openxmlformats.org/officeDocument/2006/relationships/printerSettings" Target="../printerSettings/printerSettings4.bin"/><Relationship Id="rId4" Type="http://schemas.openxmlformats.org/officeDocument/2006/relationships/ctrlProp" Target="../ctrlProps/ctrlProp9.xml"/></Relationships>
</file>

<file path=xl/worksheets/_rels/sheet10.xml.rels><?xml version="1.0" encoding="UTF-8" standalone="yes"?>
<Relationships xmlns="http://schemas.openxmlformats.org/package/2006/relationships"><Relationship Id="rId3" Type="http://schemas.openxmlformats.org/officeDocument/2006/relationships/vmlDrawing" Target="../drawings/vmlDrawing7.vml"/><Relationship Id="rId2" Type="http://schemas.openxmlformats.org/officeDocument/2006/relationships/drawing" Target="../drawings/drawing7.xml"/><Relationship Id="rId1" Type="http://schemas.openxmlformats.org/officeDocument/2006/relationships/printerSettings" Target="../printerSettings/printerSettings5.bin"/><Relationship Id="rId4" Type="http://schemas.openxmlformats.org/officeDocument/2006/relationships/ctrlProp" Target="../ctrlProps/ctrlProp10.xml"/></Relationships>
</file>

<file path=xl/worksheets/_rels/sheet11.xml.rels><?xml version="1.0" encoding="UTF-8" standalone="yes"?>
<Relationships xmlns="http://schemas.openxmlformats.org/package/2006/relationships"><Relationship Id="rId3" Type="http://schemas.openxmlformats.org/officeDocument/2006/relationships/vmlDrawing" Target="../drawings/vmlDrawing8.vml"/><Relationship Id="rId2" Type="http://schemas.openxmlformats.org/officeDocument/2006/relationships/drawing" Target="../drawings/drawing8.xml"/><Relationship Id="rId1" Type="http://schemas.openxmlformats.org/officeDocument/2006/relationships/printerSettings" Target="../printerSettings/printerSettings6.bin"/><Relationship Id="rId4" Type="http://schemas.openxmlformats.org/officeDocument/2006/relationships/ctrlProp" Target="../ctrlProps/ctrlProp11.xml"/></Relationships>
</file>

<file path=xl/worksheets/_rels/sheet12.xml.rels><?xml version="1.0" encoding="UTF-8" standalone="yes"?>
<Relationships xmlns="http://schemas.openxmlformats.org/package/2006/relationships"><Relationship Id="rId3" Type="http://schemas.openxmlformats.org/officeDocument/2006/relationships/table" Target="../tables/table4.xml"/><Relationship Id="rId2" Type="http://schemas.openxmlformats.org/officeDocument/2006/relationships/table" Target="../tables/table3.xml"/><Relationship Id="rId1" Type="http://schemas.openxmlformats.org/officeDocument/2006/relationships/printerSettings" Target="../printerSettings/printerSettings7.bin"/><Relationship Id="rId4" Type="http://schemas.openxmlformats.org/officeDocument/2006/relationships/table" Target="../tables/table5.xml"/></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9.xml.rels><?xml version="1.0" encoding="UTF-8" standalone="yes"?>
<Relationships xmlns="http://schemas.openxmlformats.org/package/2006/relationships"><Relationship Id="rId8" Type="http://schemas.openxmlformats.org/officeDocument/2006/relationships/table" Target="../tables/table9.xml"/><Relationship Id="rId13" Type="http://schemas.openxmlformats.org/officeDocument/2006/relationships/table" Target="../tables/table14.xml"/><Relationship Id="rId18" Type="http://schemas.openxmlformats.org/officeDocument/2006/relationships/table" Target="../tables/table19.xml"/><Relationship Id="rId3" Type="http://schemas.openxmlformats.org/officeDocument/2006/relationships/vmlDrawing" Target="../drawings/vmlDrawing9.vml"/><Relationship Id="rId21" Type="http://schemas.openxmlformats.org/officeDocument/2006/relationships/table" Target="../tables/table22.xml"/><Relationship Id="rId7" Type="http://schemas.openxmlformats.org/officeDocument/2006/relationships/table" Target="../tables/table8.xml"/><Relationship Id="rId12" Type="http://schemas.openxmlformats.org/officeDocument/2006/relationships/table" Target="../tables/table13.xml"/><Relationship Id="rId17" Type="http://schemas.openxmlformats.org/officeDocument/2006/relationships/table" Target="../tables/table18.xml"/><Relationship Id="rId2" Type="http://schemas.openxmlformats.org/officeDocument/2006/relationships/drawing" Target="../drawings/drawing9.xml"/><Relationship Id="rId16" Type="http://schemas.openxmlformats.org/officeDocument/2006/relationships/table" Target="../tables/table17.xml"/><Relationship Id="rId20" Type="http://schemas.openxmlformats.org/officeDocument/2006/relationships/table" Target="../tables/table21.xml"/><Relationship Id="rId1" Type="http://schemas.openxmlformats.org/officeDocument/2006/relationships/printerSettings" Target="../printerSettings/printerSettings9.bin"/><Relationship Id="rId6" Type="http://schemas.openxmlformats.org/officeDocument/2006/relationships/table" Target="../tables/table7.xml"/><Relationship Id="rId11" Type="http://schemas.openxmlformats.org/officeDocument/2006/relationships/table" Target="../tables/table12.xml"/><Relationship Id="rId5" Type="http://schemas.openxmlformats.org/officeDocument/2006/relationships/table" Target="../tables/table6.xml"/><Relationship Id="rId15" Type="http://schemas.openxmlformats.org/officeDocument/2006/relationships/table" Target="../tables/table16.xml"/><Relationship Id="rId10" Type="http://schemas.openxmlformats.org/officeDocument/2006/relationships/table" Target="../tables/table11.xml"/><Relationship Id="rId19" Type="http://schemas.openxmlformats.org/officeDocument/2006/relationships/table" Target="../tables/table20.xml"/><Relationship Id="rId4" Type="http://schemas.openxmlformats.org/officeDocument/2006/relationships/ctrlProp" Target="../ctrlProps/ctrlProp12.xml"/><Relationship Id="rId9" Type="http://schemas.openxmlformats.org/officeDocument/2006/relationships/table" Target="../tables/table10.xml"/><Relationship Id="rId14" Type="http://schemas.openxmlformats.org/officeDocument/2006/relationships/table" Target="../tables/table15.xml"/><Relationship Id="rId22" Type="http://schemas.openxmlformats.org/officeDocument/2006/relationships/table" Target="../tables/table2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68F4CD-0E90-4C32-AFBE-422612438A51}">
  <sheetPr codeName="Sheet1"/>
  <dimension ref="A2:K32"/>
  <sheetViews>
    <sheetView zoomScale="85" zoomScaleNormal="85" workbookViewId="0">
      <selection activeCell="C22" sqref="C22"/>
    </sheetView>
  </sheetViews>
  <sheetFormatPr defaultColWidth="9" defaultRowHeight="24"/>
  <cols>
    <col min="1" max="1" width="4.5" style="525" customWidth="1"/>
    <col min="2" max="2" width="7.25" style="524" customWidth="1"/>
    <col min="3" max="3" width="71.875" style="523" customWidth="1"/>
    <col min="4" max="4" width="2" style="523" customWidth="1"/>
    <col min="5" max="5" width="17.75" style="553" customWidth="1"/>
    <col min="6" max="6" width="15.625" style="553" customWidth="1"/>
    <col min="7" max="7" width="76.625" style="522" customWidth="1"/>
    <col min="8" max="10" width="22.25" style="553" customWidth="1"/>
    <col min="11" max="11" width="2.25" style="523" customWidth="1"/>
    <col min="12" max="16384" width="9" style="523"/>
  </cols>
  <sheetData>
    <row r="2" spans="2:11" ht="39.75">
      <c r="B2" s="551" t="s">
        <v>3706</v>
      </c>
      <c r="C2" s="552"/>
      <c r="K2" s="522"/>
    </row>
    <row r="3" spans="2:11">
      <c r="C3" s="523" t="s">
        <v>3707</v>
      </c>
      <c r="E3" s="560" t="s">
        <v>3734</v>
      </c>
      <c r="F3" s="560"/>
      <c r="G3" s="560"/>
      <c r="H3" s="554"/>
      <c r="I3" s="554"/>
      <c r="J3" s="554"/>
      <c r="K3" s="522"/>
    </row>
    <row r="4" spans="2:11">
      <c r="C4" s="523" t="s">
        <v>3708</v>
      </c>
      <c r="E4" s="555">
        <v>45453</v>
      </c>
      <c r="F4" s="553" t="s">
        <v>3779</v>
      </c>
      <c r="G4" s="522" t="s">
        <v>3780</v>
      </c>
      <c r="K4" s="522"/>
    </row>
    <row r="5" spans="2:11">
      <c r="E5" s="555">
        <v>45457</v>
      </c>
      <c r="F5" s="553" t="s">
        <v>3732</v>
      </c>
      <c r="G5" s="522" t="s">
        <v>3733</v>
      </c>
      <c r="K5" s="522"/>
    </row>
    <row r="6" spans="2:11">
      <c r="B6" s="524" t="s">
        <v>0</v>
      </c>
      <c r="E6" s="555">
        <v>45457</v>
      </c>
      <c r="F6" s="553" t="s">
        <v>3777</v>
      </c>
      <c r="G6" s="522" t="s">
        <v>3781</v>
      </c>
      <c r="K6" s="522"/>
    </row>
    <row r="7" spans="2:11">
      <c r="B7" s="524">
        <v>1</v>
      </c>
      <c r="C7" s="523" t="s">
        <v>3632</v>
      </c>
      <c r="E7" s="555">
        <v>45460</v>
      </c>
      <c r="F7" s="553" t="s">
        <v>3778</v>
      </c>
      <c r="G7" s="522" t="s">
        <v>3776</v>
      </c>
      <c r="K7" s="522"/>
    </row>
    <row r="8" spans="2:11">
      <c r="B8" s="524">
        <v>2</v>
      </c>
      <c r="C8" s="523" t="s">
        <v>3633</v>
      </c>
      <c r="E8" s="555">
        <v>45463</v>
      </c>
      <c r="F8" s="553" t="s">
        <v>3782</v>
      </c>
      <c r="G8" s="522" t="s">
        <v>3783</v>
      </c>
      <c r="K8" s="522"/>
    </row>
    <row r="9" spans="2:11">
      <c r="B9" s="524">
        <v>3</v>
      </c>
      <c r="C9" s="523" t="s">
        <v>3634</v>
      </c>
      <c r="G9" s="522" t="s">
        <v>3805</v>
      </c>
      <c r="K9" s="522"/>
    </row>
    <row r="10" spans="2:11">
      <c r="B10" s="524">
        <v>4</v>
      </c>
      <c r="C10" s="523" t="s">
        <v>3635</v>
      </c>
      <c r="E10" s="555">
        <v>45466</v>
      </c>
      <c r="F10" s="553" t="s">
        <v>3806</v>
      </c>
      <c r="G10" s="522" t="s">
        <v>3807</v>
      </c>
      <c r="K10" s="522"/>
    </row>
    <row r="11" spans="2:11">
      <c r="B11" s="524">
        <v>5</v>
      </c>
      <c r="C11" s="523" t="s">
        <v>3636</v>
      </c>
      <c r="G11" s="522" t="s">
        <v>3822</v>
      </c>
      <c r="K11" s="522"/>
    </row>
    <row r="12" spans="2:11">
      <c r="B12" s="524">
        <v>6</v>
      </c>
      <c r="C12" s="523" t="s">
        <v>3637</v>
      </c>
      <c r="G12" s="522" t="s">
        <v>3823</v>
      </c>
      <c r="K12" s="522"/>
    </row>
    <row r="13" spans="2:11">
      <c r="B13" s="524">
        <v>7</v>
      </c>
      <c r="C13" s="523" t="s">
        <v>3638</v>
      </c>
      <c r="G13" s="522" t="s">
        <v>3824</v>
      </c>
      <c r="K13" s="522"/>
    </row>
    <row r="14" spans="2:11">
      <c r="B14" s="524">
        <v>8</v>
      </c>
      <c r="C14" s="523" t="s">
        <v>3639</v>
      </c>
      <c r="E14" s="555">
        <v>45471</v>
      </c>
      <c r="F14" s="553" t="s">
        <v>3826</v>
      </c>
      <c r="G14" s="522" t="s">
        <v>3827</v>
      </c>
      <c r="K14" s="522"/>
    </row>
    <row r="15" spans="2:11">
      <c r="B15" s="524">
        <v>9</v>
      </c>
      <c r="C15" s="523" t="s">
        <v>3640</v>
      </c>
      <c r="E15" s="555">
        <v>45478</v>
      </c>
      <c r="F15" s="553" t="s">
        <v>3830</v>
      </c>
      <c r="G15" s="522" t="s">
        <v>3831</v>
      </c>
      <c r="K15" s="522"/>
    </row>
    <row r="16" spans="2:11">
      <c r="B16" s="524">
        <v>10</v>
      </c>
      <c r="C16" s="523" t="s">
        <v>3662</v>
      </c>
      <c r="E16" s="555">
        <v>45485</v>
      </c>
      <c r="F16" s="553" t="s">
        <v>3832</v>
      </c>
      <c r="G16" s="522" t="s">
        <v>3850</v>
      </c>
    </row>
    <row r="17" spans="5:7">
      <c r="G17" s="522" t="s">
        <v>3851</v>
      </c>
    </row>
    <row r="18" spans="5:7">
      <c r="E18" s="555">
        <v>45492</v>
      </c>
      <c r="F18" s="553" t="s">
        <v>3853</v>
      </c>
      <c r="G18" s="522" t="s">
        <v>3854</v>
      </c>
    </row>
    <row r="19" spans="5:7">
      <c r="G19" s="522" t="s">
        <v>3855</v>
      </c>
    </row>
    <row r="20" spans="5:7">
      <c r="E20" s="555">
        <v>45499</v>
      </c>
      <c r="F20" s="553" t="s">
        <v>3856</v>
      </c>
      <c r="G20" s="522" t="s">
        <v>3857</v>
      </c>
    </row>
    <row r="21" spans="5:7">
      <c r="G21" s="522" t="s">
        <v>3858</v>
      </c>
    </row>
    <row r="22" spans="5:7">
      <c r="E22" s="555">
        <v>45535</v>
      </c>
      <c r="F22" s="553" t="s">
        <v>3903</v>
      </c>
      <c r="G22" s="522" t="s">
        <v>3913</v>
      </c>
    </row>
    <row r="23" spans="5:7">
      <c r="G23" s="522" t="s">
        <v>3914</v>
      </c>
    </row>
    <row r="24" spans="5:7">
      <c r="E24" s="555">
        <v>45590</v>
      </c>
      <c r="F24" s="553" t="s">
        <v>3935</v>
      </c>
      <c r="G24" s="522" t="s">
        <v>3936</v>
      </c>
    </row>
    <row r="25" spans="5:7">
      <c r="G25" s="522" t="s">
        <v>3937</v>
      </c>
    </row>
    <row r="26" spans="5:7">
      <c r="E26" s="555">
        <v>45624</v>
      </c>
      <c r="F26" s="553" t="s">
        <v>3939</v>
      </c>
      <c r="G26" s="522" t="s">
        <v>3940</v>
      </c>
    </row>
    <row r="27" spans="5:7">
      <c r="G27" s="522" t="s">
        <v>3941</v>
      </c>
    </row>
    <row r="28" spans="5:7">
      <c r="E28" s="555">
        <v>45632</v>
      </c>
      <c r="F28" s="553" t="s">
        <v>3942</v>
      </c>
      <c r="G28" s="522" t="s">
        <v>3943</v>
      </c>
    </row>
    <row r="29" spans="5:7">
      <c r="G29" s="522" t="s">
        <v>3944</v>
      </c>
    </row>
    <row r="30" spans="5:7">
      <c r="E30" s="555">
        <v>45780</v>
      </c>
      <c r="F30" s="553" t="s">
        <v>4586</v>
      </c>
      <c r="G30" s="522" t="s">
        <v>4587</v>
      </c>
    </row>
    <row r="32" spans="5:7">
      <c r="E32" s="555">
        <v>45876</v>
      </c>
      <c r="F32" s="553" t="s">
        <v>4603</v>
      </c>
      <c r="G32" s="522" t="s">
        <v>4604</v>
      </c>
    </row>
  </sheetData>
  <mergeCells count="1">
    <mergeCell ref="E3:G3"/>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77372-3608-4DBC-BE0A-A9BE5FAEA0F4}">
  <sheetPr codeName="Sheet6">
    <tabColor rgb="FFFFC000"/>
  </sheetPr>
  <dimension ref="A1:ZZ104"/>
  <sheetViews>
    <sheetView topLeftCell="A3" zoomScaleNormal="100" workbookViewId="0">
      <selection activeCell="E3" sqref="E3"/>
    </sheetView>
  </sheetViews>
  <sheetFormatPr defaultColWidth="9" defaultRowHeight="21"/>
  <cols>
    <col min="1" max="1" width="12.5" style="69" customWidth="1"/>
    <col min="2" max="2" width="27.5" style="72" customWidth="1"/>
    <col min="3" max="3" width="13.5" style="73" customWidth="1"/>
    <col min="4" max="4" width="9" style="81"/>
    <col min="5" max="5" width="19.375" style="19" customWidth="1"/>
    <col min="6" max="6" width="26.875" style="81" customWidth="1"/>
    <col min="7" max="7" width="9.875" style="19" customWidth="1"/>
    <col min="8" max="8" width="19.375" style="81" customWidth="1"/>
    <col min="9" max="12" width="12.125" style="81" customWidth="1"/>
    <col min="13" max="13" width="15.25" style="19" customWidth="1"/>
    <col min="14" max="14" width="7.375" style="19" customWidth="1"/>
    <col min="15" max="15" width="15.5" style="81" customWidth="1"/>
    <col min="16" max="16" width="21.625" style="81" customWidth="1"/>
    <col min="17" max="20" width="12.25" style="71" bestFit="1" customWidth="1"/>
    <col min="21" max="21" width="15.375" style="71" bestFit="1" customWidth="1"/>
    <col min="22" max="22" width="17.125" style="71" customWidth="1"/>
    <col min="23" max="701" width="9" style="72"/>
    <col min="702" max="702" width="9" style="73"/>
    <col min="703" max="16384" width="9" style="72"/>
  </cols>
  <sheetData>
    <row r="1" spans="1:702" s="66" customFormat="1" ht="21.75" thickBot="1">
      <c r="A1" s="65"/>
      <c r="C1" s="67"/>
      <c r="D1" s="68">
        <f>COLUMN()</f>
        <v>4</v>
      </c>
      <c r="E1" s="534">
        <f>COLUMN()</f>
        <v>5</v>
      </c>
      <c r="F1" s="68">
        <f>COLUMN()</f>
        <v>6</v>
      </c>
      <c r="G1" s="68">
        <f>COLUMN()</f>
        <v>7</v>
      </c>
      <c r="H1" s="68">
        <f>COLUMN()</f>
        <v>8</v>
      </c>
      <c r="I1" s="68">
        <f>COLUMN()</f>
        <v>9</v>
      </c>
      <c r="J1" s="68"/>
      <c r="K1" s="68">
        <f>COLUMN()</f>
        <v>11</v>
      </c>
      <c r="L1" s="68">
        <f>COLUMN()</f>
        <v>12</v>
      </c>
      <c r="M1" s="68">
        <f>COLUMN()</f>
        <v>13</v>
      </c>
      <c r="N1" s="68">
        <f>COLUMN()</f>
        <v>14</v>
      </c>
      <c r="O1" s="68">
        <f>COLUMN()</f>
        <v>15</v>
      </c>
      <c r="P1" s="68">
        <f>COLUMN()</f>
        <v>16</v>
      </c>
      <c r="Q1" s="68">
        <f>COLUMN()</f>
        <v>17</v>
      </c>
      <c r="R1" s="68">
        <f>COLUMN()</f>
        <v>18</v>
      </c>
      <c r="S1" s="68">
        <f>COLUMN()</f>
        <v>19</v>
      </c>
      <c r="T1" s="68">
        <f>COLUMN()</f>
        <v>20</v>
      </c>
      <c r="U1" s="68">
        <f>COLUMN()</f>
        <v>21</v>
      </c>
      <c r="V1" s="68">
        <f>COLUMN()</f>
        <v>22</v>
      </c>
      <c r="W1" s="68">
        <f>COLUMN()</f>
        <v>23</v>
      </c>
      <c r="X1" s="68">
        <f>COLUMN()</f>
        <v>24</v>
      </c>
      <c r="Y1" s="68">
        <f>COLUMN()</f>
        <v>25</v>
      </c>
      <c r="Z1" s="68">
        <f>COLUMN()</f>
        <v>26</v>
      </c>
      <c r="AA1" s="68">
        <f>COLUMN()</f>
        <v>27</v>
      </c>
      <c r="AB1" s="68">
        <f>COLUMN()</f>
        <v>28</v>
      </c>
      <c r="AC1" s="68">
        <f>COLUMN()</f>
        <v>29</v>
      </c>
      <c r="AD1" s="68">
        <f>COLUMN()</f>
        <v>30</v>
      </c>
      <c r="AE1" s="68">
        <f>COLUMN()</f>
        <v>31</v>
      </c>
      <c r="AF1" s="68">
        <f>COLUMN()</f>
        <v>32</v>
      </c>
      <c r="AG1" s="68">
        <f>COLUMN()</f>
        <v>33</v>
      </c>
      <c r="AH1" s="68">
        <f>COLUMN()</f>
        <v>34</v>
      </c>
      <c r="AI1" s="68">
        <f>COLUMN()</f>
        <v>35</v>
      </c>
      <c r="AJ1" s="68">
        <f>COLUMN()</f>
        <v>36</v>
      </c>
      <c r="ZZ1" s="67"/>
    </row>
    <row r="2" spans="1:702" ht="21.75" thickBot="1">
      <c r="A2" s="69" t="s">
        <v>1844</v>
      </c>
      <c r="B2" s="82" t="s">
        <v>3670</v>
      </c>
      <c r="C2" s="70" t="s">
        <v>2843</v>
      </c>
      <c r="D2" s="19" t="s">
        <v>1843</v>
      </c>
      <c r="E2" s="19" t="s">
        <v>1844</v>
      </c>
      <c r="F2" s="19" t="s">
        <v>1845</v>
      </c>
      <c r="G2" s="19" t="s">
        <v>1846</v>
      </c>
      <c r="H2" s="19" t="s">
        <v>1847</v>
      </c>
      <c r="I2" s="19" t="s">
        <v>1848</v>
      </c>
      <c r="J2" s="19" t="s">
        <v>2632</v>
      </c>
      <c r="K2" s="19" t="s">
        <v>2626</v>
      </c>
      <c r="L2" s="19" t="s">
        <v>2627</v>
      </c>
      <c r="M2" s="19" t="s">
        <v>1</v>
      </c>
      <c r="N2" s="19" t="s">
        <v>1849</v>
      </c>
      <c r="O2" s="19" t="s">
        <v>1850</v>
      </c>
      <c r="P2" s="19" t="s">
        <v>1869</v>
      </c>
      <c r="Q2" s="71" t="s">
        <v>1851</v>
      </c>
      <c r="R2" s="71" t="s">
        <v>1852</v>
      </c>
      <c r="S2" s="71" t="s">
        <v>1853</v>
      </c>
      <c r="T2" s="71" t="s">
        <v>1854</v>
      </c>
      <c r="U2" s="71" t="s">
        <v>1855</v>
      </c>
      <c r="V2" s="71" t="s">
        <v>1856</v>
      </c>
    </row>
    <row r="3" spans="1:702" ht="21.75" thickBot="1">
      <c r="A3" s="69" t="s">
        <v>1692</v>
      </c>
      <c r="B3" s="82" t="s">
        <v>1707</v>
      </c>
      <c r="C3" s="70" t="s">
        <v>2843</v>
      </c>
      <c r="D3" s="84" t="str">
        <f>IF(MSSリスト!B3&lt;&gt;"",HYPERLINK("https://nextoffice.next-hd.co.jp/pleasanter/items/"&amp;MSSリスト!B3&amp;"/edit","開く"),"")</f>
        <v>開く</v>
      </c>
      <c r="E3" s="76" t="str">
        <f>_xlfn.IFNA(VLOOKUP(MSSリスト!C3,ステータス一覧[],MATCH("ステータス",ステータス一覧[#Headers],0),FALSE),"")</f>
        <v>[本契]最終</v>
      </c>
      <c r="F3" s="75" t="str">
        <f>MSSリスト!D3</f>
        <v>05A3BRONT■田中 勝也</v>
      </c>
      <c r="G3" s="76" t="str">
        <f>_xlfn.IFNA(VLOOKUP(MSSリスト!E3,シート分類一覧[],MATCH("種別",シート分類一覧[#Headers],0),FALSE),"")</f>
        <v>本契約</v>
      </c>
      <c r="H3" s="74" t="str">
        <f>_xlfn.IFNA(VLOOKUP(MSSリスト!F3,営業所リスト[],MATCH("店舗名",営業所リスト[#Headers],0),FALSE),"")</f>
        <v>アクティエ八王子</v>
      </c>
      <c r="I3" s="74" t="str">
        <f>_xlfn.IFNA(VLOOKUP(MSSリスト!G3,社員リスト[],MATCH("名前",社員リスト[#Headers],0),FALSE),"")</f>
        <v>中村 賢治</v>
      </c>
      <c r="J3" s="74" t="str">
        <f>_xlfn.IFNA(VLOOKUP(MSSリスト!H3,社員リスト[],MATCH("名前",社員リスト[#Headers],0),FALSE),"")</f>
        <v>津原 陸斗</v>
      </c>
      <c r="K3" s="74" t="str">
        <f>_xlfn.IFNA(VLOOKUP(MSSリスト!I3,社員リスト[],MATCH("名前",社員リスト[#Headers],0),FALSE),"")</f>
        <v>溝口 大介</v>
      </c>
      <c r="L3" s="74" t="str">
        <f>_xlfn.IFNA(VLOOKUP(MSSリスト!J3,社員リスト[],MATCH("名前",社員リスト[#Headers],0),FALSE),"")</f>
        <v>佐藤 宏幸</v>
      </c>
      <c r="M3" s="526" t="str">
        <f>MSSリスト!K3</f>
        <v>05A3BRONT</v>
      </c>
      <c r="N3" s="76" t="str">
        <f>IF(MSSリスト!L3="","",_xlfn.IFNA(VLOOKUP(MSSリスト!L3,設計契約リスト[],MATCH("設計契約",設計契約リスト[#Headers],0),FALSE),""))</f>
        <v>有り</v>
      </c>
      <c r="O3" s="74" t="str">
        <f>_xlfn.IFNA(VLOOKUP(MSSリスト!M3,契約ブランドリスト[],MATCH("ブランド",契約ブランドリスト[#Headers],0),FALSE),"")</f>
        <v>actie</v>
      </c>
      <c r="P3" s="74" t="str">
        <f>MSSリスト!N3</f>
        <v>田中 勝也</v>
      </c>
      <c r="Q3" s="77">
        <f>MSSリスト!O3</f>
        <v>45842</v>
      </c>
      <c r="R3" s="77">
        <f>MSSリスト!P3</f>
        <v>45557</v>
      </c>
      <c r="S3" s="77">
        <f>MSSリスト!Q3</f>
        <v>45896</v>
      </c>
      <c r="T3" s="77">
        <f>MSSリスト!R3</f>
        <v>45936</v>
      </c>
      <c r="U3" s="77">
        <f>MSSリスト!S3</f>
        <v>46055</v>
      </c>
      <c r="V3" s="78">
        <f>MSSリスト!T3</f>
        <v>46092.564236111109</v>
      </c>
    </row>
    <row r="4" spans="1:702">
      <c r="B4" s="79" t="s">
        <v>2625</v>
      </c>
      <c r="D4" s="84" t="str">
        <f>IF(MSSリスト!B4&lt;&gt;"",HYPERLINK("https://nextoffice.next-hd.co.jp/pleasanter/items/"&amp;MSSリスト!B4&amp;"/edit","開く"),"")</f>
        <v/>
      </c>
      <c r="E4" s="76" t="str">
        <f>_xlfn.IFNA(VLOOKUP(MSSリスト!C4,ステータス一覧[],MATCH("ステータス",ステータス一覧[#Headers],0),FALSE),"")</f>
        <v/>
      </c>
      <c r="F4" s="75">
        <f>MSSリスト!D4</f>
        <v>0</v>
      </c>
      <c r="G4" s="76" t="str">
        <f>_xlfn.IFNA(VLOOKUP(MSSリスト!E4,シート分類一覧[],MATCH("種別",シート分類一覧[#Headers],0),FALSE),"")</f>
        <v/>
      </c>
      <c r="H4" s="74" t="str">
        <f>_xlfn.IFNA(VLOOKUP(MSSリスト!F4,営業所リスト[],MATCH("店舗名",営業所リスト[#Headers],0),FALSE),"")</f>
        <v/>
      </c>
      <c r="I4" s="74" t="str">
        <f>_xlfn.IFNA(VLOOKUP(MSSリスト!G4,社員リスト[],MATCH("名前",社員リスト[#Headers],0),FALSE),"")</f>
        <v/>
      </c>
      <c r="J4" s="74" t="str">
        <f>_xlfn.IFNA(VLOOKUP(MSSリスト!H4,社員リスト[],MATCH("名前",社員リスト[#Headers],0),FALSE),"")</f>
        <v/>
      </c>
      <c r="K4" s="74" t="str">
        <f>_xlfn.IFNA(VLOOKUP(MSSリスト!I4,社員リスト[],MATCH("名前",社員リスト[#Headers],0),FALSE),"")</f>
        <v/>
      </c>
      <c r="L4" s="74" t="str">
        <f>_xlfn.IFNA(VLOOKUP(MSSリスト!J4,社員リスト[],MATCH("名前",社員リスト[#Headers],0),FALSE),"")</f>
        <v/>
      </c>
      <c r="M4" s="526">
        <f>MSSリスト!K4</f>
        <v>0</v>
      </c>
      <c r="N4" s="76" t="str">
        <f>IF(MSSリスト!L4="","",_xlfn.IFNA(VLOOKUP(MSSリスト!L4,設計契約リスト[],MATCH("設計契約",設計契約リスト[#Headers],0),FALSE),""))</f>
        <v/>
      </c>
      <c r="O4" s="74" t="str">
        <f>_xlfn.IFNA(VLOOKUP(MSSリスト!M4,契約ブランドリスト[],MATCH("ブランド",契約ブランドリスト[#Headers],0),FALSE),"")</f>
        <v/>
      </c>
      <c r="P4" s="74">
        <f>MSSリスト!N4</f>
        <v>0</v>
      </c>
      <c r="Q4" s="77">
        <f>MSSリスト!O4</f>
        <v>0</v>
      </c>
      <c r="R4" s="77">
        <f>MSSリスト!P4</f>
        <v>0</v>
      </c>
      <c r="S4" s="77">
        <f>MSSリスト!Q4</f>
        <v>0</v>
      </c>
      <c r="T4" s="77">
        <f>MSSリスト!R4</f>
        <v>0</v>
      </c>
      <c r="U4" s="77">
        <f>MSSリスト!S4</f>
        <v>0</v>
      </c>
      <c r="V4" s="78">
        <f>MSSリスト!T4</f>
        <v>0</v>
      </c>
    </row>
    <row r="5" spans="1:702" ht="21.75" thickBot="1">
      <c r="B5" s="64" t="s">
        <v>2846</v>
      </c>
      <c r="D5" s="84" t="str">
        <f>IF(MSSリスト!B5&lt;&gt;"",HYPERLINK("https://nextoffice.next-hd.co.jp/pleasanter/items/"&amp;MSSリスト!B5&amp;"/edit","開く"),"")</f>
        <v/>
      </c>
      <c r="E5" s="76" t="str">
        <f>_xlfn.IFNA(VLOOKUP(MSSリスト!C5,ステータス一覧[],MATCH("ステータス",ステータス一覧[#Headers],0),FALSE),"")</f>
        <v/>
      </c>
      <c r="F5" s="75">
        <f>MSSリスト!D5</f>
        <v>0</v>
      </c>
      <c r="G5" s="76" t="str">
        <f>_xlfn.IFNA(VLOOKUP(MSSリスト!E5,シート分類一覧[],MATCH("種別",シート分類一覧[#Headers],0),FALSE),"")</f>
        <v/>
      </c>
      <c r="H5" s="74" t="str">
        <f>_xlfn.IFNA(VLOOKUP(MSSリスト!F5,営業所リスト[],MATCH("店舗名",営業所リスト[#Headers],0),FALSE),"")</f>
        <v/>
      </c>
      <c r="I5" s="74" t="str">
        <f>_xlfn.IFNA(VLOOKUP(MSSリスト!G5,社員リスト[],MATCH("名前",社員リスト[#Headers],0),FALSE),"")</f>
        <v/>
      </c>
      <c r="J5" s="74" t="str">
        <f>_xlfn.IFNA(VLOOKUP(MSSリスト!H5,社員リスト[],MATCH("名前",社員リスト[#Headers],0),FALSE),"")</f>
        <v/>
      </c>
      <c r="K5" s="74" t="str">
        <f>_xlfn.IFNA(VLOOKUP(MSSリスト!I5,社員リスト[],MATCH("名前",社員リスト[#Headers],0),FALSE),"")</f>
        <v/>
      </c>
      <c r="L5" s="74" t="str">
        <f>_xlfn.IFNA(VLOOKUP(MSSリスト!J5,社員リスト[],MATCH("名前",社員リスト[#Headers],0),FALSE),"")</f>
        <v/>
      </c>
      <c r="M5" s="526">
        <f>MSSリスト!K5</f>
        <v>0</v>
      </c>
      <c r="N5" s="76" t="str">
        <f>IF(MSSリスト!L5="","",_xlfn.IFNA(VLOOKUP(MSSリスト!L5,設計契約リスト[],MATCH("設計契約",設計契約リスト[#Headers],0),FALSE),""))</f>
        <v/>
      </c>
      <c r="O5" s="74" t="str">
        <f>_xlfn.IFNA(VLOOKUP(MSSリスト!M5,契約ブランドリスト[],MATCH("ブランド",契約ブランドリスト[#Headers],0),FALSE),"")</f>
        <v/>
      </c>
      <c r="P5" s="74">
        <f>MSSリスト!N5</f>
        <v>0</v>
      </c>
      <c r="Q5" s="77">
        <f>MSSリスト!O5</f>
        <v>0</v>
      </c>
      <c r="R5" s="77">
        <f>MSSリスト!P5</f>
        <v>0</v>
      </c>
      <c r="S5" s="77">
        <f>MSSリスト!Q5</f>
        <v>0</v>
      </c>
      <c r="T5" s="77">
        <f>MSSリスト!R5</f>
        <v>0</v>
      </c>
      <c r="U5" s="77">
        <f>MSSリスト!S5</f>
        <v>0</v>
      </c>
      <c r="V5" s="78">
        <f>MSSリスト!T5</f>
        <v>0</v>
      </c>
    </row>
    <row r="6" spans="1:702" ht="21" customHeight="1" thickBot="1">
      <c r="A6" s="69" t="s">
        <v>2841</v>
      </c>
      <c r="B6" s="82"/>
      <c r="C6" s="70" t="s">
        <v>2849</v>
      </c>
      <c r="D6" s="84" t="str">
        <f>IF(MSSリスト!B6&lt;&gt;"",HYPERLINK("https://nextoffice.next-hd.co.jp/pleasanter/items/"&amp;MSSリスト!B6&amp;"/edit","開く"),"")</f>
        <v/>
      </c>
      <c r="E6" s="76" t="str">
        <f>_xlfn.IFNA(VLOOKUP(MSSリスト!C6,ステータス一覧[],MATCH("ステータス",ステータス一覧[#Headers],0),FALSE),"")</f>
        <v/>
      </c>
      <c r="F6" s="75">
        <f>MSSリスト!D6</f>
        <v>0</v>
      </c>
      <c r="G6" s="76" t="str">
        <f>_xlfn.IFNA(VLOOKUP(MSSリスト!E6,シート分類一覧[],MATCH("種別",シート分類一覧[#Headers],0),FALSE),"")</f>
        <v/>
      </c>
      <c r="H6" s="74" t="str">
        <f>_xlfn.IFNA(VLOOKUP(MSSリスト!F6,営業所リスト[],MATCH("店舗名",営業所リスト[#Headers],0),FALSE),"")</f>
        <v/>
      </c>
      <c r="I6" s="74" t="str">
        <f>_xlfn.IFNA(VLOOKUP(MSSリスト!G6,社員リスト[],MATCH("名前",社員リスト[#Headers],0),FALSE),"")</f>
        <v/>
      </c>
      <c r="J6" s="74" t="str">
        <f>_xlfn.IFNA(VLOOKUP(MSSリスト!H6,社員リスト[],MATCH("名前",社員リスト[#Headers],0),FALSE),"")</f>
        <v/>
      </c>
      <c r="K6" s="74" t="str">
        <f>_xlfn.IFNA(VLOOKUP(MSSリスト!I6,社員リスト[],MATCH("名前",社員リスト[#Headers],0),FALSE),"")</f>
        <v/>
      </c>
      <c r="L6" s="74" t="str">
        <f>_xlfn.IFNA(VLOOKUP(MSSリスト!J6,社員リスト[],MATCH("名前",社員リスト[#Headers],0),FALSE),"")</f>
        <v/>
      </c>
      <c r="M6" s="526">
        <f>MSSリスト!K6</f>
        <v>0</v>
      </c>
      <c r="N6" s="76" t="str">
        <f>IF(MSSリスト!L6="","",_xlfn.IFNA(VLOOKUP(MSSリスト!L6,設計契約リスト[],MATCH("設計契約",設計契約リスト[#Headers],0),FALSE),""))</f>
        <v/>
      </c>
      <c r="O6" s="74" t="str">
        <f>_xlfn.IFNA(VLOOKUP(MSSリスト!M6,契約ブランドリスト[],MATCH("ブランド",契約ブランドリスト[#Headers],0),FALSE),"")</f>
        <v/>
      </c>
      <c r="P6" s="74">
        <f>MSSリスト!N6</f>
        <v>0</v>
      </c>
      <c r="Q6" s="77">
        <f>MSSリスト!O6</f>
        <v>0</v>
      </c>
      <c r="R6" s="77">
        <f>MSSリスト!P6</f>
        <v>0</v>
      </c>
      <c r="S6" s="77">
        <f>MSSリスト!Q6</f>
        <v>0</v>
      </c>
      <c r="T6" s="77">
        <f>MSSリスト!R6</f>
        <v>0</v>
      </c>
      <c r="U6" s="77">
        <f>MSSリスト!S6</f>
        <v>0</v>
      </c>
      <c r="V6" s="78">
        <f>MSSリスト!T6</f>
        <v>0</v>
      </c>
    </row>
    <row r="7" spans="1:702" ht="21.75" thickBot="1">
      <c r="A7" s="69" t="s">
        <v>2632</v>
      </c>
      <c r="B7" s="82"/>
      <c r="D7" s="84" t="str">
        <f>IF(MSSリスト!B7&lt;&gt;"",HYPERLINK("https://nextoffice.next-hd.co.jp/pleasanter/items/"&amp;MSSリスト!B7&amp;"/edit","開く"),"")</f>
        <v/>
      </c>
      <c r="E7" s="76" t="str">
        <f>_xlfn.IFNA(VLOOKUP(MSSリスト!C7,ステータス一覧[],MATCH("ステータス",ステータス一覧[#Headers],0),FALSE),"")</f>
        <v/>
      </c>
      <c r="F7" s="75">
        <f>MSSリスト!D7</f>
        <v>0</v>
      </c>
      <c r="G7" s="76" t="str">
        <f>_xlfn.IFNA(VLOOKUP(MSSリスト!E7,シート分類一覧[],MATCH("種別",シート分類一覧[#Headers],0),FALSE),"")</f>
        <v/>
      </c>
      <c r="H7" s="74" t="str">
        <f>_xlfn.IFNA(VLOOKUP(MSSリスト!F7,営業所リスト[],MATCH("店舗名",営業所リスト[#Headers],0),FALSE),"")</f>
        <v/>
      </c>
      <c r="I7" s="74" t="str">
        <f>_xlfn.IFNA(VLOOKUP(MSSリスト!G7,社員リスト[],MATCH("名前",社員リスト[#Headers],0),FALSE),"")</f>
        <v/>
      </c>
      <c r="J7" s="74" t="str">
        <f>_xlfn.IFNA(VLOOKUP(MSSリスト!H7,社員リスト[],MATCH("名前",社員リスト[#Headers],0),FALSE),"")</f>
        <v/>
      </c>
      <c r="K7" s="74" t="str">
        <f>_xlfn.IFNA(VLOOKUP(MSSリスト!I7,社員リスト[],MATCH("名前",社員リスト[#Headers],0),FALSE),"")</f>
        <v/>
      </c>
      <c r="L7" s="74" t="str">
        <f>_xlfn.IFNA(VLOOKUP(MSSリスト!J7,社員リスト[],MATCH("名前",社員リスト[#Headers],0),FALSE),"")</f>
        <v/>
      </c>
      <c r="M7" s="526">
        <f>MSSリスト!K7</f>
        <v>0</v>
      </c>
      <c r="N7" s="76" t="str">
        <f>IF(MSSリスト!L7="","",_xlfn.IFNA(VLOOKUP(MSSリスト!L7,設計契約リスト[],MATCH("設計契約",設計契約リスト[#Headers],0),FALSE),""))</f>
        <v/>
      </c>
      <c r="O7" s="74" t="str">
        <f>_xlfn.IFNA(VLOOKUP(MSSリスト!M7,契約ブランドリスト[],MATCH("ブランド",契約ブランドリスト[#Headers],0),FALSE),"")</f>
        <v/>
      </c>
      <c r="P7" s="74">
        <f>MSSリスト!N7</f>
        <v>0</v>
      </c>
      <c r="Q7" s="77">
        <f>MSSリスト!O7</f>
        <v>0</v>
      </c>
      <c r="R7" s="77">
        <f>MSSリスト!P7</f>
        <v>0</v>
      </c>
      <c r="S7" s="77">
        <f>MSSリスト!Q7</f>
        <v>0</v>
      </c>
      <c r="T7" s="77">
        <f>MSSリスト!R7</f>
        <v>0</v>
      </c>
      <c r="U7" s="77">
        <f>MSSリスト!S7</f>
        <v>0</v>
      </c>
      <c r="V7" s="78">
        <f>MSSリスト!T7</f>
        <v>0</v>
      </c>
    </row>
    <row r="8" spans="1:702" ht="21.75" thickBot="1">
      <c r="A8" s="69" t="s">
        <v>2627</v>
      </c>
      <c r="B8" s="82"/>
      <c r="D8" s="84" t="str">
        <f>IF(MSSリスト!B8&lt;&gt;"",HYPERLINK("https://nextoffice.next-hd.co.jp/pleasanter/items/"&amp;MSSリスト!B8&amp;"/edit","開く"),"")</f>
        <v/>
      </c>
      <c r="E8" s="76" t="str">
        <f>_xlfn.IFNA(VLOOKUP(MSSリスト!C8,ステータス一覧[],MATCH("ステータス",ステータス一覧[#Headers],0),FALSE),"")</f>
        <v/>
      </c>
      <c r="F8" s="75">
        <f>MSSリスト!D8</f>
        <v>0</v>
      </c>
      <c r="G8" s="76" t="str">
        <f>_xlfn.IFNA(VLOOKUP(MSSリスト!E8,シート分類一覧[],MATCH("種別",シート分類一覧[#Headers],0),FALSE),"")</f>
        <v/>
      </c>
      <c r="H8" s="74" t="str">
        <f>_xlfn.IFNA(VLOOKUP(MSSリスト!F8,営業所リスト[],MATCH("店舗名",営業所リスト[#Headers],0),FALSE),"")</f>
        <v/>
      </c>
      <c r="I8" s="74" t="str">
        <f>_xlfn.IFNA(VLOOKUP(MSSリスト!G8,社員リスト[],MATCH("名前",社員リスト[#Headers],0),FALSE),"")</f>
        <v/>
      </c>
      <c r="J8" s="74" t="str">
        <f>_xlfn.IFNA(VLOOKUP(MSSリスト!H8,社員リスト[],MATCH("名前",社員リスト[#Headers],0),FALSE),"")</f>
        <v/>
      </c>
      <c r="K8" s="74" t="str">
        <f>_xlfn.IFNA(VLOOKUP(MSSリスト!I8,社員リスト[],MATCH("名前",社員リスト[#Headers],0),FALSE),"")</f>
        <v/>
      </c>
      <c r="L8" s="74" t="str">
        <f>_xlfn.IFNA(VLOOKUP(MSSリスト!J8,社員リスト[],MATCH("名前",社員リスト[#Headers],0),FALSE),"")</f>
        <v/>
      </c>
      <c r="M8" s="526">
        <f>MSSリスト!K8</f>
        <v>0</v>
      </c>
      <c r="N8" s="76" t="str">
        <f>IF(MSSリスト!L8="","",_xlfn.IFNA(VLOOKUP(MSSリスト!L8,設計契約リスト[],MATCH("設計契約",設計契約リスト[#Headers],0),FALSE),""))</f>
        <v/>
      </c>
      <c r="O8" s="74" t="str">
        <f>_xlfn.IFNA(VLOOKUP(MSSリスト!M8,契約ブランドリスト[],MATCH("ブランド",契約ブランドリスト[#Headers],0),FALSE),"")</f>
        <v/>
      </c>
      <c r="P8" s="74">
        <f>MSSリスト!N8</f>
        <v>0</v>
      </c>
      <c r="Q8" s="77">
        <f>MSSリスト!O8</f>
        <v>0</v>
      </c>
      <c r="R8" s="77">
        <f>MSSリスト!P8</f>
        <v>0</v>
      </c>
      <c r="S8" s="77">
        <f>MSSリスト!Q8</f>
        <v>0</v>
      </c>
      <c r="T8" s="77">
        <f>MSSリスト!R8</f>
        <v>0</v>
      </c>
      <c r="U8" s="77">
        <f>MSSリスト!S8</f>
        <v>0</v>
      </c>
      <c r="V8" s="78">
        <f>MSSリスト!T8</f>
        <v>0</v>
      </c>
    </row>
    <row r="9" spans="1:702" ht="21.75" thickBot="1">
      <c r="A9" s="69" t="s">
        <v>1846</v>
      </c>
      <c r="B9" s="82"/>
      <c r="D9" s="84" t="str">
        <f>IF(MSSリスト!B9&lt;&gt;"",HYPERLINK("https://nextoffice.next-hd.co.jp/pleasanter/items/"&amp;MSSリスト!B9&amp;"/edit","開く"),"")</f>
        <v/>
      </c>
      <c r="E9" s="76" t="str">
        <f>_xlfn.IFNA(VLOOKUP(MSSリスト!C9,ステータス一覧[],MATCH("ステータス",ステータス一覧[#Headers],0),FALSE),"")</f>
        <v/>
      </c>
      <c r="F9" s="75">
        <f>MSSリスト!D9</f>
        <v>0</v>
      </c>
      <c r="G9" s="76" t="str">
        <f>_xlfn.IFNA(VLOOKUP(MSSリスト!E9,シート分類一覧[],MATCH("種別",シート分類一覧[#Headers],0),FALSE),"")</f>
        <v/>
      </c>
      <c r="H9" s="74" t="str">
        <f>_xlfn.IFNA(VLOOKUP(MSSリスト!F9,営業所リスト[],MATCH("店舗名",営業所リスト[#Headers],0),FALSE),"")</f>
        <v/>
      </c>
      <c r="I9" s="74" t="str">
        <f>_xlfn.IFNA(VLOOKUP(MSSリスト!G9,社員リスト[],MATCH("名前",社員リスト[#Headers],0),FALSE),"")</f>
        <v/>
      </c>
      <c r="J9" s="74" t="str">
        <f>_xlfn.IFNA(VLOOKUP(MSSリスト!H9,社員リスト[],MATCH("名前",社員リスト[#Headers],0),FALSE),"")</f>
        <v/>
      </c>
      <c r="K9" s="74" t="str">
        <f>_xlfn.IFNA(VLOOKUP(MSSリスト!I9,社員リスト[],MATCH("名前",社員リスト[#Headers],0),FALSE),"")</f>
        <v/>
      </c>
      <c r="L9" s="74" t="str">
        <f>_xlfn.IFNA(VLOOKUP(MSSリスト!J9,社員リスト[],MATCH("名前",社員リスト[#Headers],0),FALSE),"")</f>
        <v/>
      </c>
      <c r="M9" s="526">
        <f>MSSリスト!K9</f>
        <v>0</v>
      </c>
      <c r="N9" s="76" t="str">
        <f>IF(MSSリスト!L9="","",_xlfn.IFNA(VLOOKUP(MSSリスト!L9,設計契約リスト[],MATCH("設計契約",設計契約リスト[#Headers],0),FALSE),""))</f>
        <v/>
      </c>
      <c r="O9" s="74" t="str">
        <f>_xlfn.IFNA(VLOOKUP(MSSリスト!M9,契約ブランドリスト[],MATCH("ブランド",契約ブランドリスト[#Headers],0),FALSE),"")</f>
        <v/>
      </c>
      <c r="P9" s="74">
        <f>MSSリスト!N9</f>
        <v>0</v>
      </c>
      <c r="Q9" s="77">
        <f>MSSリスト!O9</f>
        <v>0</v>
      </c>
      <c r="R9" s="77">
        <f>MSSリスト!P9</f>
        <v>0</v>
      </c>
      <c r="S9" s="77">
        <f>MSSリスト!Q9</f>
        <v>0</v>
      </c>
      <c r="T9" s="77">
        <f>MSSリスト!R9</f>
        <v>0</v>
      </c>
      <c r="U9" s="77">
        <f>MSSリスト!S9</f>
        <v>0</v>
      </c>
      <c r="V9" s="78">
        <f>MSSリスト!T9</f>
        <v>0</v>
      </c>
    </row>
    <row r="10" spans="1:702" ht="21.75" thickBot="1">
      <c r="A10" s="69" t="s">
        <v>2844</v>
      </c>
      <c r="B10" s="83">
        <v>1</v>
      </c>
      <c r="D10" s="84" t="str">
        <f>IF(MSSリスト!B10&lt;&gt;"",HYPERLINK("https://nextoffice.next-hd.co.jp/pleasanter/items/"&amp;MSSリスト!B10&amp;"/edit","開く"),"")</f>
        <v/>
      </c>
      <c r="E10" s="76" t="str">
        <f>_xlfn.IFNA(VLOOKUP(MSSリスト!C10,ステータス一覧[],MATCH("ステータス",ステータス一覧[#Headers],0),FALSE),"")</f>
        <v/>
      </c>
      <c r="F10" s="75">
        <f>MSSリスト!D10</f>
        <v>0</v>
      </c>
      <c r="G10" s="76" t="str">
        <f>_xlfn.IFNA(VLOOKUP(MSSリスト!E10,シート分類一覧[],MATCH("種別",シート分類一覧[#Headers],0),FALSE),"")</f>
        <v/>
      </c>
      <c r="H10" s="74" t="str">
        <f>_xlfn.IFNA(VLOOKUP(MSSリスト!F10,営業所リスト[],MATCH("店舗名",営業所リスト[#Headers],0),FALSE),"")</f>
        <v/>
      </c>
      <c r="I10" s="74" t="str">
        <f>_xlfn.IFNA(VLOOKUP(MSSリスト!G10,社員リスト[],MATCH("名前",社員リスト[#Headers],0),FALSE),"")</f>
        <v/>
      </c>
      <c r="J10" s="74" t="str">
        <f>_xlfn.IFNA(VLOOKUP(MSSリスト!H10,社員リスト[],MATCH("名前",社員リスト[#Headers],0),FALSE),"")</f>
        <v/>
      </c>
      <c r="K10" s="74" t="str">
        <f>_xlfn.IFNA(VLOOKUP(MSSリスト!I10,社員リスト[],MATCH("名前",社員リスト[#Headers],0),FALSE),"")</f>
        <v/>
      </c>
      <c r="L10" s="74" t="str">
        <f>_xlfn.IFNA(VLOOKUP(MSSリスト!J10,社員リスト[],MATCH("名前",社員リスト[#Headers],0),FALSE),"")</f>
        <v/>
      </c>
      <c r="M10" s="526">
        <f>MSSリスト!K10</f>
        <v>0</v>
      </c>
      <c r="N10" s="76" t="str">
        <f>IF(MSSリスト!L10="","",_xlfn.IFNA(VLOOKUP(MSSリスト!L10,設計契約リスト[],MATCH("設計契約",設計契約リスト[#Headers],0),FALSE),""))</f>
        <v/>
      </c>
      <c r="O10" s="74" t="str">
        <f>_xlfn.IFNA(VLOOKUP(MSSリスト!M10,契約ブランドリスト[],MATCH("ブランド",契約ブランドリスト[#Headers],0),FALSE),"")</f>
        <v/>
      </c>
      <c r="P10" s="74">
        <f>MSSリスト!N10</f>
        <v>0</v>
      </c>
      <c r="Q10" s="77">
        <f>MSSリスト!O10</f>
        <v>0</v>
      </c>
      <c r="R10" s="77">
        <f>MSSリスト!P10</f>
        <v>0</v>
      </c>
      <c r="S10" s="77">
        <f>MSSリスト!Q10</f>
        <v>0</v>
      </c>
      <c r="T10" s="77">
        <f>MSSリスト!R10</f>
        <v>0</v>
      </c>
      <c r="U10" s="77">
        <f>MSSリスト!S10</f>
        <v>0</v>
      </c>
      <c r="V10" s="78">
        <f>MSSリスト!T10</f>
        <v>0</v>
      </c>
    </row>
    <row r="11" spans="1:702">
      <c r="B11" s="80" t="s">
        <v>2847</v>
      </c>
      <c r="D11" s="84" t="str">
        <f>IF(MSSリスト!B11&lt;&gt;"",HYPERLINK("https://nextoffice.next-hd.co.jp/pleasanter/items/"&amp;MSSリスト!B11&amp;"/edit","開く"),"")</f>
        <v/>
      </c>
      <c r="E11" s="76" t="str">
        <f>_xlfn.IFNA(VLOOKUP(MSSリスト!C11,ステータス一覧[],MATCH("ステータス",ステータス一覧[#Headers],0),FALSE),"")</f>
        <v/>
      </c>
      <c r="F11" s="75">
        <f>MSSリスト!D11</f>
        <v>0</v>
      </c>
      <c r="G11" s="76" t="str">
        <f>_xlfn.IFNA(VLOOKUP(MSSリスト!E11,シート分類一覧[],MATCH("種別",シート分類一覧[#Headers],0),FALSE),"")</f>
        <v/>
      </c>
      <c r="H11" s="74" t="str">
        <f>_xlfn.IFNA(VLOOKUP(MSSリスト!F11,営業所リスト[],MATCH("店舗名",営業所リスト[#Headers],0),FALSE),"")</f>
        <v/>
      </c>
      <c r="I11" s="74" t="str">
        <f>_xlfn.IFNA(VLOOKUP(MSSリスト!G11,社員リスト[],MATCH("名前",社員リスト[#Headers],0),FALSE),"")</f>
        <v/>
      </c>
      <c r="J11" s="74" t="str">
        <f>_xlfn.IFNA(VLOOKUP(MSSリスト!H11,社員リスト[],MATCH("名前",社員リスト[#Headers],0),FALSE),"")</f>
        <v/>
      </c>
      <c r="K11" s="74" t="str">
        <f>_xlfn.IFNA(VLOOKUP(MSSリスト!I11,社員リスト[],MATCH("名前",社員リスト[#Headers],0),FALSE),"")</f>
        <v/>
      </c>
      <c r="L11" s="74" t="str">
        <f>_xlfn.IFNA(VLOOKUP(MSSリスト!J11,社員リスト[],MATCH("名前",社員リスト[#Headers],0),FALSE),"")</f>
        <v/>
      </c>
      <c r="M11" s="526">
        <f>MSSリスト!K11</f>
        <v>0</v>
      </c>
      <c r="N11" s="76" t="str">
        <f>IF(MSSリスト!L11="","",_xlfn.IFNA(VLOOKUP(MSSリスト!L11,設計契約リスト[],MATCH("設計契約",設計契約リスト[#Headers],0),FALSE),""))</f>
        <v/>
      </c>
      <c r="O11" s="74" t="str">
        <f>_xlfn.IFNA(VLOOKUP(MSSリスト!M11,契約ブランドリスト[],MATCH("ブランド",契約ブランドリスト[#Headers],0),FALSE),"")</f>
        <v/>
      </c>
      <c r="P11" s="74">
        <f>MSSリスト!N11</f>
        <v>0</v>
      </c>
      <c r="Q11" s="77">
        <f>MSSリスト!O11</f>
        <v>0</v>
      </c>
      <c r="R11" s="77">
        <f>MSSリスト!P11</f>
        <v>0</v>
      </c>
      <c r="S11" s="77">
        <f>MSSリスト!Q11</f>
        <v>0</v>
      </c>
      <c r="T11" s="77">
        <f>MSSリスト!R11</f>
        <v>0</v>
      </c>
      <c r="U11" s="77">
        <f>MSSリスト!S11</f>
        <v>0</v>
      </c>
      <c r="V11" s="78">
        <f>MSSリスト!T11</f>
        <v>0</v>
      </c>
    </row>
    <row r="12" spans="1:702">
      <c r="D12" s="84" t="str">
        <f>IF(MSSリスト!B12&lt;&gt;"",HYPERLINK("https://nextoffice.next-hd.co.jp/pleasanter/items/"&amp;MSSリスト!B12&amp;"/edit","開く"),"")</f>
        <v/>
      </c>
      <c r="E12" s="76" t="str">
        <f>_xlfn.IFNA(VLOOKUP(MSSリスト!C12,ステータス一覧[],MATCH("ステータス",ステータス一覧[#Headers],0),FALSE),"")</f>
        <v/>
      </c>
      <c r="F12" s="75">
        <f>MSSリスト!D12</f>
        <v>0</v>
      </c>
      <c r="G12" s="76" t="str">
        <f>_xlfn.IFNA(VLOOKUP(MSSリスト!E12,シート分類一覧[],MATCH("種別",シート分類一覧[#Headers],0),FALSE),"")</f>
        <v/>
      </c>
      <c r="H12" s="74" t="str">
        <f>_xlfn.IFNA(VLOOKUP(MSSリスト!F12,営業所リスト[],MATCH("店舗名",営業所リスト[#Headers],0),FALSE),"")</f>
        <v/>
      </c>
      <c r="I12" s="74" t="str">
        <f>_xlfn.IFNA(VLOOKUP(MSSリスト!G12,社員リスト[],MATCH("名前",社員リスト[#Headers],0),FALSE),"")</f>
        <v/>
      </c>
      <c r="J12" s="74" t="str">
        <f>_xlfn.IFNA(VLOOKUP(MSSリスト!H12,社員リスト[],MATCH("名前",社員リスト[#Headers],0),FALSE),"")</f>
        <v/>
      </c>
      <c r="K12" s="74" t="str">
        <f>_xlfn.IFNA(VLOOKUP(MSSリスト!I12,社員リスト[],MATCH("名前",社員リスト[#Headers],0),FALSE),"")</f>
        <v/>
      </c>
      <c r="L12" s="74" t="str">
        <f>_xlfn.IFNA(VLOOKUP(MSSリスト!J12,社員リスト[],MATCH("名前",社員リスト[#Headers],0),FALSE),"")</f>
        <v/>
      </c>
      <c r="M12" s="526">
        <f>MSSリスト!K12</f>
        <v>0</v>
      </c>
      <c r="N12" s="76" t="str">
        <f>IF(MSSリスト!L12="","",_xlfn.IFNA(VLOOKUP(MSSリスト!L12,設計契約リスト[],MATCH("設計契約",設計契約リスト[#Headers],0),FALSE),""))</f>
        <v/>
      </c>
      <c r="O12" s="74" t="str">
        <f>_xlfn.IFNA(VLOOKUP(MSSリスト!M12,契約ブランドリスト[],MATCH("ブランド",契約ブランドリスト[#Headers],0),FALSE),"")</f>
        <v/>
      </c>
      <c r="P12" s="74">
        <f>MSSリスト!N12</f>
        <v>0</v>
      </c>
      <c r="Q12" s="77">
        <f>MSSリスト!O12</f>
        <v>0</v>
      </c>
      <c r="R12" s="77">
        <f>MSSリスト!P12</f>
        <v>0</v>
      </c>
      <c r="S12" s="77">
        <f>MSSリスト!Q12</f>
        <v>0</v>
      </c>
      <c r="T12" s="77">
        <f>MSSリスト!R12</f>
        <v>0</v>
      </c>
      <c r="U12" s="77">
        <f>MSSリスト!S12</f>
        <v>0</v>
      </c>
      <c r="V12" s="78">
        <f>MSSリスト!T12</f>
        <v>0</v>
      </c>
    </row>
    <row r="13" spans="1:702">
      <c r="D13" s="84" t="str">
        <f>IF(MSSリスト!B13&lt;&gt;"",HYPERLINK("https://nextoffice.next-hd.co.jp/pleasanter/items/"&amp;MSSリスト!B13&amp;"/edit","開く"),"")</f>
        <v/>
      </c>
      <c r="E13" s="76" t="str">
        <f>_xlfn.IFNA(VLOOKUP(MSSリスト!C13,ステータス一覧[],MATCH("ステータス",ステータス一覧[#Headers],0),FALSE),"")</f>
        <v/>
      </c>
      <c r="F13" s="75">
        <f>MSSリスト!D13</f>
        <v>0</v>
      </c>
      <c r="G13" s="76" t="str">
        <f>_xlfn.IFNA(VLOOKUP(MSSリスト!E13,シート分類一覧[],MATCH("種別",シート分類一覧[#Headers],0),FALSE),"")</f>
        <v/>
      </c>
      <c r="H13" s="74" t="str">
        <f>_xlfn.IFNA(VLOOKUP(MSSリスト!F13,営業所リスト[],MATCH("店舗名",営業所リスト[#Headers],0),FALSE),"")</f>
        <v/>
      </c>
      <c r="I13" s="74" t="str">
        <f>_xlfn.IFNA(VLOOKUP(MSSリスト!G13,社員リスト[],MATCH("名前",社員リスト[#Headers],0),FALSE),"")</f>
        <v/>
      </c>
      <c r="J13" s="74" t="str">
        <f>_xlfn.IFNA(VLOOKUP(MSSリスト!H13,社員リスト[],MATCH("名前",社員リスト[#Headers],0),FALSE),"")</f>
        <v/>
      </c>
      <c r="K13" s="74" t="str">
        <f>_xlfn.IFNA(VLOOKUP(MSSリスト!I13,社員リスト[],MATCH("名前",社員リスト[#Headers],0),FALSE),"")</f>
        <v/>
      </c>
      <c r="L13" s="74" t="str">
        <f>_xlfn.IFNA(VLOOKUP(MSSリスト!J13,社員リスト[],MATCH("名前",社員リスト[#Headers],0),FALSE),"")</f>
        <v/>
      </c>
      <c r="M13" s="526">
        <f>MSSリスト!K13</f>
        <v>0</v>
      </c>
      <c r="N13" s="76" t="str">
        <f>IF(MSSリスト!L13="","",_xlfn.IFNA(VLOOKUP(MSSリスト!L13,設計契約リスト[],MATCH("設計契約",設計契約リスト[#Headers],0),FALSE),""))</f>
        <v/>
      </c>
      <c r="O13" s="74" t="str">
        <f>_xlfn.IFNA(VLOOKUP(MSSリスト!M13,契約ブランドリスト[],MATCH("ブランド",契約ブランドリスト[#Headers],0),FALSE),"")</f>
        <v/>
      </c>
      <c r="P13" s="74">
        <f>MSSリスト!N13</f>
        <v>0</v>
      </c>
      <c r="Q13" s="77">
        <f>MSSリスト!O13</f>
        <v>0</v>
      </c>
      <c r="R13" s="77">
        <f>MSSリスト!P13</f>
        <v>0</v>
      </c>
      <c r="S13" s="77">
        <f>MSSリスト!Q13</f>
        <v>0</v>
      </c>
      <c r="T13" s="77">
        <f>MSSリスト!R13</f>
        <v>0</v>
      </c>
      <c r="U13" s="77">
        <f>MSSリスト!S13</f>
        <v>0</v>
      </c>
      <c r="V13" s="78">
        <f>MSSリスト!T13</f>
        <v>0</v>
      </c>
    </row>
    <row r="14" spans="1:702">
      <c r="D14" s="84" t="str">
        <f>IF(MSSリスト!B14&lt;&gt;"",HYPERLINK("https://nextoffice.next-hd.co.jp/pleasanter/items/"&amp;MSSリスト!B14&amp;"/edit","開く"),"")</f>
        <v/>
      </c>
      <c r="E14" s="76" t="str">
        <f>_xlfn.IFNA(VLOOKUP(MSSリスト!C14,ステータス一覧[],MATCH("ステータス",ステータス一覧[#Headers],0),FALSE),"")</f>
        <v/>
      </c>
      <c r="F14" s="75">
        <f>MSSリスト!D14</f>
        <v>0</v>
      </c>
      <c r="G14" s="76" t="str">
        <f>_xlfn.IFNA(VLOOKUP(MSSリスト!E14,シート分類一覧[],MATCH("種別",シート分類一覧[#Headers],0),FALSE),"")</f>
        <v/>
      </c>
      <c r="H14" s="74" t="str">
        <f>_xlfn.IFNA(VLOOKUP(MSSリスト!F14,営業所リスト[],MATCH("店舗名",営業所リスト[#Headers],0),FALSE),"")</f>
        <v/>
      </c>
      <c r="I14" s="74" t="str">
        <f>_xlfn.IFNA(VLOOKUP(MSSリスト!G14,社員リスト[],MATCH("名前",社員リスト[#Headers],0),FALSE),"")</f>
        <v/>
      </c>
      <c r="J14" s="74" t="str">
        <f>_xlfn.IFNA(VLOOKUP(MSSリスト!H14,社員リスト[],MATCH("名前",社員リスト[#Headers],0),FALSE),"")</f>
        <v/>
      </c>
      <c r="K14" s="74" t="str">
        <f>_xlfn.IFNA(VLOOKUP(MSSリスト!I14,社員リスト[],MATCH("名前",社員リスト[#Headers],0),FALSE),"")</f>
        <v/>
      </c>
      <c r="L14" s="74" t="str">
        <f>_xlfn.IFNA(VLOOKUP(MSSリスト!J14,社員リスト[],MATCH("名前",社員リスト[#Headers],0),FALSE),"")</f>
        <v/>
      </c>
      <c r="M14" s="526">
        <f>MSSリスト!K14</f>
        <v>0</v>
      </c>
      <c r="N14" s="76" t="str">
        <f>IF(MSSリスト!L14="","",_xlfn.IFNA(VLOOKUP(MSSリスト!L14,設計契約リスト[],MATCH("設計契約",設計契約リスト[#Headers],0),FALSE),""))</f>
        <v/>
      </c>
      <c r="O14" s="74" t="str">
        <f>_xlfn.IFNA(VLOOKUP(MSSリスト!M14,契約ブランドリスト[],MATCH("ブランド",契約ブランドリスト[#Headers],0),FALSE),"")</f>
        <v/>
      </c>
      <c r="P14" s="74">
        <f>MSSリスト!N14</f>
        <v>0</v>
      </c>
      <c r="Q14" s="77">
        <f>MSSリスト!O14</f>
        <v>0</v>
      </c>
      <c r="R14" s="77">
        <f>MSSリスト!P14</f>
        <v>0</v>
      </c>
      <c r="S14" s="77">
        <f>MSSリスト!Q14</f>
        <v>0</v>
      </c>
      <c r="T14" s="77">
        <f>MSSリスト!R14</f>
        <v>0</v>
      </c>
      <c r="U14" s="77">
        <f>MSSリスト!S14</f>
        <v>0</v>
      </c>
      <c r="V14" s="78">
        <f>MSSリスト!T14</f>
        <v>0</v>
      </c>
    </row>
    <row r="15" spans="1:702" ht="21.75" thickBot="1">
      <c r="B15" s="19" t="s">
        <v>2624</v>
      </c>
      <c r="D15" s="84" t="str">
        <f>IF(MSSリスト!B15&lt;&gt;"",HYPERLINK("https://nextoffice.next-hd.co.jp/pleasanter/items/"&amp;MSSリスト!B15&amp;"/edit","開く"),"")</f>
        <v/>
      </c>
      <c r="E15" s="76" t="str">
        <f>_xlfn.IFNA(VLOOKUP(MSSリスト!C15,ステータス一覧[],MATCH("ステータス",ステータス一覧[#Headers],0),FALSE),"")</f>
        <v/>
      </c>
      <c r="F15" s="75">
        <f>MSSリスト!D15</f>
        <v>0</v>
      </c>
      <c r="G15" s="76" t="str">
        <f>_xlfn.IFNA(VLOOKUP(MSSリスト!E15,シート分類一覧[],MATCH("種別",シート分類一覧[#Headers],0),FALSE),"")</f>
        <v/>
      </c>
      <c r="H15" s="74" t="str">
        <f>_xlfn.IFNA(VLOOKUP(MSSリスト!F15,営業所リスト[],MATCH("店舗名",営業所リスト[#Headers],0),FALSE),"")</f>
        <v/>
      </c>
      <c r="I15" s="74" t="str">
        <f>_xlfn.IFNA(VLOOKUP(MSSリスト!G15,社員リスト[],MATCH("名前",社員リスト[#Headers],0),FALSE),"")</f>
        <v/>
      </c>
      <c r="J15" s="74" t="str">
        <f>_xlfn.IFNA(VLOOKUP(MSSリスト!H15,社員リスト[],MATCH("名前",社員リスト[#Headers],0),FALSE),"")</f>
        <v/>
      </c>
      <c r="K15" s="74" t="str">
        <f>_xlfn.IFNA(VLOOKUP(MSSリスト!I15,社員リスト[],MATCH("名前",社員リスト[#Headers],0),FALSE),"")</f>
        <v/>
      </c>
      <c r="L15" s="74" t="str">
        <f>_xlfn.IFNA(VLOOKUP(MSSリスト!J15,社員リスト[],MATCH("名前",社員リスト[#Headers],0),FALSE),"")</f>
        <v/>
      </c>
      <c r="M15" s="526">
        <f>MSSリスト!K15</f>
        <v>0</v>
      </c>
      <c r="N15" s="76" t="str">
        <f>IF(MSSリスト!L15="","",_xlfn.IFNA(VLOOKUP(MSSリスト!L15,設計契約リスト[],MATCH("設計契約",設計契約リスト[#Headers],0),FALSE),""))</f>
        <v/>
      </c>
      <c r="O15" s="74" t="str">
        <f>_xlfn.IFNA(VLOOKUP(MSSリスト!M15,契約ブランドリスト[],MATCH("ブランド",契約ブランドリスト[#Headers],0),FALSE),"")</f>
        <v/>
      </c>
      <c r="P15" s="74">
        <f>MSSリスト!N15</f>
        <v>0</v>
      </c>
      <c r="Q15" s="77">
        <f>MSSリスト!O15</f>
        <v>0</v>
      </c>
      <c r="R15" s="77">
        <f>MSSリスト!P15</f>
        <v>0</v>
      </c>
      <c r="S15" s="77">
        <f>MSSリスト!Q15</f>
        <v>0</v>
      </c>
      <c r="T15" s="77">
        <f>MSSリスト!R15</f>
        <v>0</v>
      </c>
      <c r="U15" s="77">
        <f>MSSリスト!S15</f>
        <v>0</v>
      </c>
      <c r="V15" s="78">
        <f>MSSリスト!T15</f>
        <v>0</v>
      </c>
    </row>
    <row r="16" spans="1:702" ht="21.75" thickBot="1">
      <c r="B16" s="539" t="s">
        <v>4608</v>
      </c>
      <c r="C16" s="70" t="s">
        <v>2848</v>
      </c>
      <c r="D16" s="84" t="str">
        <f>IF(MSSリスト!B16&lt;&gt;"",HYPERLINK("https://nextoffice.next-hd.co.jp/pleasanter/items/"&amp;MSSリスト!B16&amp;"/edit","開く"),"")</f>
        <v/>
      </c>
      <c r="E16" s="76" t="str">
        <f>_xlfn.IFNA(VLOOKUP(MSSリスト!C16,ステータス一覧[],MATCH("ステータス",ステータス一覧[#Headers],0),FALSE),"")</f>
        <v/>
      </c>
      <c r="F16" s="75">
        <f>MSSリスト!D16</f>
        <v>0</v>
      </c>
      <c r="G16" s="76" t="str">
        <f>_xlfn.IFNA(VLOOKUP(MSSリスト!E16,シート分類一覧[],MATCH("種別",シート分類一覧[#Headers],0),FALSE),"")</f>
        <v/>
      </c>
      <c r="H16" s="74" t="str">
        <f>_xlfn.IFNA(VLOOKUP(MSSリスト!F16,営業所リスト[],MATCH("店舗名",営業所リスト[#Headers],0),FALSE),"")</f>
        <v/>
      </c>
      <c r="I16" s="74" t="str">
        <f>_xlfn.IFNA(VLOOKUP(MSSリスト!G16,社員リスト[],MATCH("名前",社員リスト[#Headers],0),FALSE),"")</f>
        <v/>
      </c>
      <c r="J16" s="74" t="str">
        <f>_xlfn.IFNA(VLOOKUP(MSSリスト!H16,社員リスト[],MATCH("名前",社員リスト[#Headers],0),FALSE),"")</f>
        <v/>
      </c>
      <c r="K16" s="74" t="str">
        <f>_xlfn.IFNA(VLOOKUP(MSSリスト!I16,社員リスト[],MATCH("名前",社員リスト[#Headers],0),FALSE),"")</f>
        <v/>
      </c>
      <c r="L16" s="74" t="str">
        <f>_xlfn.IFNA(VLOOKUP(MSSリスト!J16,社員リスト[],MATCH("名前",社員リスト[#Headers],0),FALSE),"")</f>
        <v/>
      </c>
      <c r="M16" s="526">
        <f>MSSリスト!K16</f>
        <v>0</v>
      </c>
      <c r="N16" s="76" t="str">
        <f>IF(MSSリスト!L16="","",_xlfn.IFNA(VLOOKUP(MSSリスト!L16,設計契約リスト[],MATCH("設計契約",設計契約リスト[#Headers],0),FALSE),""))</f>
        <v/>
      </c>
      <c r="O16" s="74" t="str">
        <f>_xlfn.IFNA(VLOOKUP(MSSリスト!M16,契約ブランドリスト[],MATCH("ブランド",契約ブランドリスト[#Headers],0),FALSE),"")</f>
        <v/>
      </c>
      <c r="P16" s="74">
        <f>MSSリスト!N16</f>
        <v>0</v>
      </c>
      <c r="Q16" s="77">
        <f>MSSリスト!O16</f>
        <v>0</v>
      </c>
      <c r="R16" s="77">
        <f>MSSリスト!P16</f>
        <v>0</v>
      </c>
      <c r="S16" s="77">
        <f>MSSリスト!Q16</f>
        <v>0</v>
      </c>
      <c r="T16" s="77">
        <f>MSSリスト!R16</f>
        <v>0</v>
      </c>
      <c r="U16" s="77">
        <f>MSSリスト!S16</f>
        <v>0</v>
      </c>
      <c r="V16" s="78">
        <f>MSSリスト!T16</f>
        <v>0</v>
      </c>
    </row>
    <row r="17" spans="1:22">
      <c r="D17" s="84" t="str">
        <f>IF(MSSリスト!B17&lt;&gt;"",HYPERLINK("https://nextoffice.next-hd.co.jp/pleasanter/items/"&amp;MSSリスト!B17&amp;"/edit","開く"),"")</f>
        <v/>
      </c>
      <c r="E17" s="76" t="str">
        <f>_xlfn.IFNA(VLOOKUP(MSSリスト!C17,ステータス一覧[],MATCH("ステータス",ステータス一覧[#Headers],0),FALSE),"")</f>
        <v/>
      </c>
      <c r="F17" s="75">
        <f>MSSリスト!D17</f>
        <v>0</v>
      </c>
      <c r="G17" s="76" t="str">
        <f>_xlfn.IFNA(VLOOKUP(MSSリスト!E17,シート分類一覧[],MATCH("種別",シート分類一覧[#Headers],0),FALSE),"")</f>
        <v/>
      </c>
      <c r="H17" s="74" t="str">
        <f>_xlfn.IFNA(VLOOKUP(MSSリスト!F17,営業所リスト[],MATCH("店舗名",営業所リスト[#Headers],0),FALSE),"")</f>
        <v/>
      </c>
      <c r="I17" s="74" t="str">
        <f>_xlfn.IFNA(VLOOKUP(MSSリスト!G17,社員リスト[],MATCH("名前",社員リスト[#Headers],0),FALSE),"")</f>
        <v/>
      </c>
      <c r="J17" s="74" t="str">
        <f>_xlfn.IFNA(VLOOKUP(MSSリスト!H17,社員リスト[],MATCH("名前",社員リスト[#Headers],0),FALSE),"")</f>
        <v/>
      </c>
      <c r="K17" s="74" t="str">
        <f>_xlfn.IFNA(VLOOKUP(MSSリスト!I17,社員リスト[],MATCH("名前",社員リスト[#Headers],0),FALSE),"")</f>
        <v/>
      </c>
      <c r="L17" s="74" t="str">
        <f>_xlfn.IFNA(VLOOKUP(MSSリスト!J17,社員リスト[],MATCH("名前",社員リスト[#Headers],0),FALSE),"")</f>
        <v/>
      </c>
      <c r="M17" s="526">
        <f>MSSリスト!K17</f>
        <v>0</v>
      </c>
      <c r="N17" s="76" t="str">
        <f>IF(MSSリスト!L17="","",_xlfn.IFNA(VLOOKUP(MSSリスト!L17,設計契約リスト[],MATCH("設計契約",設計契約リスト[#Headers],0),FALSE),""))</f>
        <v/>
      </c>
      <c r="O17" s="74" t="str">
        <f>_xlfn.IFNA(VLOOKUP(MSSリスト!M17,契約ブランドリスト[],MATCH("ブランド",契約ブランドリスト[#Headers],0),FALSE),"")</f>
        <v/>
      </c>
      <c r="P17" s="74">
        <f>MSSリスト!N17</f>
        <v>0</v>
      </c>
      <c r="Q17" s="77">
        <f>MSSリスト!O17</f>
        <v>0</v>
      </c>
      <c r="R17" s="77">
        <f>MSSリスト!P17</f>
        <v>0</v>
      </c>
      <c r="S17" s="77">
        <f>MSSリスト!Q17</f>
        <v>0</v>
      </c>
      <c r="T17" s="77">
        <f>MSSリスト!R17</f>
        <v>0</v>
      </c>
      <c r="U17" s="77">
        <f>MSSリスト!S17</f>
        <v>0</v>
      </c>
      <c r="V17" s="78">
        <f>MSSリスト!T17</f>
        <v>0</v>
      </c>
    </row>
    <row r="18" spans="1:22">
      <c r="D18" s="84" t="str">
        <f>IF(MSSリスト!B18&lt;&gt;"",HYPERLINK("https://nextoffice.next-hd.co.jp/pleasanter/items/"&amp;MSSリスト!B18&amp;"/edit","開く"),"")</f>
        <v/>
      </c>
      <c r="E18" s="76" t="str">
        <f>_xlfn.IFNA(VLOOKUP(MSSリスト!C18,ステータス一覧[],MATCH("ステータス",ステータス一覧[#Headers],0),FALSE),"")</f>
        <v/>
      </c>
      <c r="F18" s="75">
        <f>MSSリスト!D18</f>
        <v>0</v>
      </c>
      <c r="G18" s="76" t="str">
        <f>_xlfn.IFNA(VLOOKUP(MSSリスト!E18,シート分類一覧[],MATCH("種別",シート分類一覧[#Headers],0),FALSE),"")</f>
        <v/>
      </c>
      <c r="H18" s="74" t="str">
        <f>_xlfn.IFNA(VLOOKUP(MSSリスト!F18,営業所リスト[],MATCH("店舗名",営業所リスト[#Headers],0),FALSE),"")</f>
        <v/>
      </c>
      <c r="I18" s="74" t="str">
        <f>_xlfn.IFNA(VLOOKUP(MSSリスト!G18,社員リスト[],MATCH("名前",社員リスト[#Headers],0),FALSE),"")</f>
        <v/>
      </c>
      <c r="J18" s="74" t="str">
        <f>_xlfn.IFNA(VLOOKUP(MSSリスト!H18,社員リスト[],MATCH("名前",社員リスト[#Headers],0),FALSE),"")</f>
        <v/>
      </c>
      <c r="K18" s="74" t="str">
        <f>_xlfn.IFNA(VLOOKUP(MSSリスト!I18,社員リスト[],MATCH("名前",社員リスト[#Headers],0),FALSE),"")</f>
        <v/>
      </c>
      <c r="L18" s="74" t="str">
        <f>_xlfn.IFNA(VLOOKUP(MSSリスト!J18,社員リスト[],MATCH("名前",社員リスト[#Headers],0),FALSE),"")</f>
        <v/>
      </c>
      <c r="M18" s="526">
        <f>MSSリスト!K18</f>
        <v>0</v>
      </c>
      <c r="N18" s="76" t="str">
        <f>IF(MSSリスト!L18="","",_xlfn.IFNA(VLOOKUP(MSSリスト!L18,設計契約リスト[],MATCH("設計契約",設計契約リスト[#Headers],0),FALSE),""))</f>
        <v/>
      </c>
      <c r="O18" s="74" t="str">
        <f>_xlfn.IFNA(VLOOKUP(MSSリスト!M18,契約ブランドリスト[],MATCH("ブランド",契約ブランドリスト[#Headers],0),FALSE),"")</f>
        <v/>
      </c>
      <c r="P18" s="74">
        <f>MSSリスト!N18</f>
        <v>0</v>
      </c>
      <c r="Q18" s="77">
        <f>MSSリスト!O18</f>
        <v>0</v>
      </c>
      <c r="R18" s="77">
        <f>MSSリスト!P18</f>
        <v>0</v>
      </c>
      <c r="S18" s="77">
        <f>MSSリスト!Q18</f>
        <v>0</v>
      </c>
      <c r="T18" s="77">
        <f>MSSリスト!R18</f>
        <v>0</v>
      </c>
      <c r="U18" s="77">
        <f>MSSリスト!S18</f>
        <v>0</v>
      </c>
      <c r="V18" s="78">
        <f>MSSリスト!T18</f>
        <v>0</v>
      </c>
    </row>
    <row r="19" spans="1:22">
      <c r="B19" s="561" t="s">
        <v>2850</v>
      </c>
      <c r="D19" s="84" t="str">
        <f>IF(MSSリスト!B19&lt;&gt;"",HYPERLINK("https://nextoffice.next-hd.co.jp/pleasanter/items/"&amp;MSSリスト!B19&amp;"/edit","開く"),"")</f>
        <v/>
      </c>
      <c r="E19" s="76" t="str">
        <f>_xlfn.IFNA(VLOOKUP(MSSリスト!C19,ステータス一覧[],MATCH("ステータス",ステータス一覧[#Headers],0),FALSE),"")</f>
        <v/>
      </c>
      <c r="F19" s="75">
        <f>MSSリスト!D19</f>
        <v>0</v>
      </c>
      <c r="G19" s="76" t="str">
        <f>_xlfn.IFNA(VLOOKUP(MSSリスト!E19,シート分類一覧[],MATCH("種別",シート分類一覧[#Headers],0),FALSE),"")</f>
        <v/>
      </c>
      <c r="H19" s="74" t="str">
        <f>_xlfn.IFNA(VLOOKUP(MSSリスト!F19,営業所リスト[],MATCH("店舗名",営業所リスト[#Headers],0),FALSE),"")</f>
        <v/>
      </c>
      <c r="I19" s="74" t="str">
        <f>_xlfn.IFNA(VLOOKUP(MSSリスト!G19,社員リスト[],MATCH("名前",社員リスト[#Headers],0),FALSE),"")</f>
        <v/>
      </c>
      <c r="J19" s="74" t="str">
        <f>_xlfn.IFNA(VLOOKUP(MSSリスト!H19,社員リスト[],MATCH("名前",社員リスト[#Headers],0),FALSE),"")</f>
        <v/>
      </c>
      <c r="K19" s="74" t="str">
        <f>_xlfn.IFNA(VLOOKUP(MSSリスト!I19,社員リスト[],MATCH("名前",社員リスト[#Headers],0),FALSE),"")</f>
        <v/>
      </c>
      <c r="L19" s="74" t="str">
        <f>_xlfn.IFNA(VLOOKUP(MSSリスト!J19,社員リスト[],MATCH("名前",社員リスト[#Headers],0),FALSE),"")</f>
        <v/>
      </c>
      <c r="M19" s="526">
        <f>MSSリスト!K19</f>
        <v>0</v>
      </c>
      <c r="N19" s="76" t="str">
        <f>IF(MSSリスト!L19="","",_xlfn.IFNA(VLOOKUP(MSSリスト!L19,設計契約リスト[],MATCH("設計契約",設計契約リスト[#Headers],0),FALSE),""))</f>
        <v/>
      </c>
      <c r="O19" s="74" t="str">
        <f>_xlfn.IFNA(VLOOKUP(MSSリスト!M19,契約ブランドリスト[],MATCH("ブランド",契約ブランドリスト[#Headers],0),FALSE),"")</f>
        <v/>
      </c>
      <c r="P19" s="74">
        <f>MSSリスト!N19</f>
        <v>0</v>
      </c>
      <c r="Q19" s="77">
        <f>MSSリスト!O19</f>
        <v>0</v>
      </c>
      <c r="R19" s="77">
        <f>MSSリスト!P19</f>
        <v>0</v>
      </c>
      <c r="S19" s="77">
        <f>MSSリスト!Q19</f>
        <v>0</v>
      </c>
      <c r="T19" s="77">
        <f>MSSリスト!R19</f>
        <v>0</v>
      </c>
      <c r="U19" s="77">
        <f>MSSリスト!S19</f>
        <v>0</v>
      </c>
      <c r="V19" s="78">
        <f>MSSリスト!T19</f>
        <v>0</v>
      </c>
    </row>
    <row r="20" spans="1:22">
      <c r="B20" s="561"/>
      <c r="D20" s="84" t="str">
        <f>IF(MSSリスト!B20&lt;&gt;"",HYPERLINK("https://nextoffice.next-hd.co.jp/pleasanter/items/"&amp;MSSリスト!B20&amp;"/edit","開く"),"")</f>
        <v/>
      </c>
      <c r="E20" s="76" t="str">
        <f>_xlfn.IFNA(VLOOKUP(MSSリスト!C20,ステータス一覧[],MATCH("ステータス",ステータス一覧[#Headers],0),FALSE),"")</f>
        <v/>
      </c>
      <c r="F20" s="75">
        <f>MSSリスト!D20</f>
        <v>0</v>
      </c>
      <c r="G20" s="76" t="str">
        <f>_xlfn.IFNA(VLOOKUP(MSSリスト!E20,シート分類一覧[],MATCH("種別",シート分類一覧[#Headers],0),FALSE),"")</f>
        <v/>
      </c>
      <c r="H20" s="74" t="str">
        <f>_xlfn.IFNA(VLOOKUP(MSSリスト!F20,営業所リスト[],MATCH("店舗名",営業所リスト[#Headers],0),FALSE),"")</f>
        <v/>
      </c>
      <c r="I20" s="74" t="str">
        <f>_xlfn.IFNA(VLOOKUP(MSSリスト!G20,社員リスト[],MATCH("名前",社員リスト[#Headers],0),FALSE),"")</f>
        <v/>
      </c>
      <c r="J20" s="74" t="str">
        <f>_xlfn.IFNA(VLOOKUP(MSSリスト!H20,社員リスト[],MATCH("名前",社員リスト[#Headers],0),FALSE),"")</f>
        <v/>
      </c>
      <c r="K20" s="74" t="str">
        <f>_xlfn.IFNA(VLOOKUP(MSSリスト!I20,社員リスト[],MATCH("名前",社員リスト[#Headers],0),FALSE),"")</f>
        <v/>
      </c>
      <c r="L20" s="74" t="str">
        <f>_xlfn.IFNA(VLOOKUP(MSSリスト!J20,社員リスト[],MATCH("名前",社員リスト[#Headers],0),FALSE),"")</f>
        <v/>
      </c>
      <c r="M20" s="526">
        <f>MSSリスト!K20</f>
        <v>0</v>
      </c>
      <c r="N20" s="76" t="str">
        <f>IF(MSSリスト!L20="","",_xlfn.IFNA(VLOOKUP(MSSリスト!L20,設計契約リスト[],MATCH("設計契約",設計契約リスト[#Headers],0),FALSE),""))</f>
        <v/>
      </c>
      <c r="O20" s="74" t="str">
        <f>_xlfn.IFNA(VLOOKUP(MSSリスト!M20,契約ブランドリスト[],MATCH("ブランド",契約ブランドリスト[#Headers],0),FALSE),"")</f>
        <v/>
      </c>
      <c r="P20" s="74">
        <f>MSSリスト!N20</f>
        <v>0</v>
      </c>
      <c r="Q20" s="77">
        <f>MSSリスト!O20</f>
        <v>0</v>
      </c>
      <c r="R20" s="77">
        <f>MSSリスト!P20</f>
        <v>0</v>
      </c>
      <c r="S20" s="77">
        <f>MSSリスト!Q20</f>
        <v>0</v>
      </c>
      <c r="T20" s="77">
        <f>MSSリスト!R20</f>
        <v>0</v>
      </c>
      <c r="U20" s="77">
        <f>MSSリスト!S20</f>
        <v>0</v>
      </c>
      <c r="V20" s="78">
        <f>MSSリスト!T20</f>
        <v>0</v>
      </c>
    </row>
    <row r="21" spans="1:22">
      <c r="D21" s="84" t="str">
        <f>IF(MSSリスト!B21&lt;&gt;"",HYPERLINK("https://nextoffice.next-hd.co.jp/pleasanter/items/"&amp;MSSリスト!B21&amp;"/edit","開く"),"")</f>
        <v/>
      </c>
      <c r="E21" s="76" t="str">
        <f>_xlfn.IFNA(VLOOKUP(MSSリスト!C21,ステータス一覧[],MATCH("ステータス",ステータス一覧[#Headers],0),FALSE),"")</f>
        <v/>
      </c>
      <c r="F21" s="75">
        <f>MSSリスト!D21</f>
        <v>0</v>
      </c>
      <c r="G21" s="76" t="str">
        <f>_xlfn.IFNA(VLOOKUP(MSSリスト!E21,シート分類一覧[],MATCH("種別",シート分類一覧[#Headers],0),FALSE),"")</f>
        <v/>
      </c>
      <c r="H21" s="74" t="str">
        <f>_xlfn.IFNA(VLOOKUP(MSSリスト!F21,営業所リスト[],MATCH("店舗名",営業所リスト[#Headers],0),FALSE),"")</f>
        <v/>
      </c>
      <c r="I21" s="74" t="str">
        <f>_xlfn.IFNA(VLOOKUP(MSSリスト!G21,社員リスト[],MATCH("名前",社員リスト[#Headers],0),FALSE),"")</f>
        <v/>
      </c>
      <c r="J21" s="74" t="str">
        <f>_xlfn.IFNA(VLOOKUP(MSSリスト!H21,社員リスト[],MATCH("名前",社員リスト[#Headers],0),FALSE),"")</f>
        <v/>
      </c>
      <c r="K21" s="74" t="str">
        <f>_xlfn.IFNA(VLOOKUP(MSSリスト!I21,社員リスト[],MATCH("名前",社員リスト[#Headers],0),FALSE),"")</f>
        <v/>
      </c>
      <c r="L21" s="74" t="str">
        <f>_xlfn.IFNA(VLOOKUP(MSSリスト!J21,社員リスト[],MATCH("名前",社員リスト[#Headers],0),FALSE),"")</f>
        <v/>
      </c>
      <c r="M21" s="526">
        <f>MSSリスト!K21</f>
        <v>0</v>
      </c>
      <c r="N21" s="76" t="str">
        <f>IF(MSSリスト!L21="","",_xlfn.IFNA(VLOOKUP(MSSリスト!L21,設計契約リスト[],MATCH("設計契約",設計契約リスト[#Headers],0),FALSE),""))</f>
        <v/>
      </c>
      <c r="O21" s="74" t="str">
        <f>_xlfn.IFNA(VLOOKUP(MSSリスト!M21,契約ブランドリスト[],MATCH("ブランド",契約ブランドリスト[#Headers],0),FALSE),"")</f>
        <v/>
      </c>
      <c r="P21" s="74">
        <f>MSSリスト!N21</f>
        <v>0</v>
      </c>
      <c r="Q21" s="77">
        <f>MSSリスト!O21</f>
        <v>0</v>
      </c>
      <c r="R21" s="77">
        <f>MSSリスト!P21</f>
        <v>0</v>
      </c>
      <c r="S21" s="77">
        <f>MSSリスト!Q21</f>
        <v>0</v>
      </c>
      <c r="T21" s="77">
        <f>MSSリスト!R21</f>
        <v>0</v>
      </c>
      <c r="U21" s="77">
        <f>MSSリスト!S21</f>
        <v>0</v>
      </c>
      <c r="V21" s="78">
        <f>MSSリスト!T21</f>
        <v>0</v>
      </c>
    </row>
    <row r="22" spans="1:22">
      <c r="B22" s="88" t="s">
        <v>4605</v>
      </c>
      <c r="D22" s="84" t="str">
        <f>IF(MSSリスト!B22&lt;&gt;"",HYPERLINK("https://nextoffice.next-hd.co.jp/pleasanter/items/"&amp;MSSリスト!B22&amp;"/edit","開く"),"")</f>
        <v/>
      </c>
      <c r="E22" s="76" t="str">
        <f>_xlfn.IFNA(VLOOKUP(MSSリスト!C22,ステータス一覧[],MATCH("ステータス",ステータス一覧[#Headers],0),FALSE),"")</f>
        <v/>
      </c>
      <c r="F22" s="75">
        <f>MSSリスト!D22</f>
        <v>0</v>
      </c>
      <c r="G22" s="76" t="str">
        <f>_xlfn.IFNA(VLOOKUP(MSSリスト!E22,シート分類一覧[],MATCH("種別",シート分類一覧[#Headers],0),FALSE),"")</f>
        <v/>
      </c>
      <c r="H22" s="74" t="str">
        <f>_xlfn.IFNA(VLOOKUP(MSSリスト!F22,営業所リスト[],MATCH("店舗名",営業所リスト[#Headers],0),FALSE),"")</f>
        <v/>
      </c>
      <c r="I22" s="74" t="str">
        <f>_xlfn.IFNA(VLOOKUP(MSSリスト!G22,社員リスト[],MATCH("名前",社員リスト[#Headers],0),FALSE),"")</f>
        <v/>
      </c>
      <c r="J22" s="74" t="str">
        <f>_xlfn.IFNA(VLOOKUP(MSSリスト!H22,社員リスト[],MATCH("名前",社員リスト[#Headers],0),FALSE),"")</f>
        <v/>
      </c>
      <c r="K22" s="74" t="str">
        <f>_xlfn.IFNA(VLOOKUP(MSSリスト!I22,社員リスト[],MATCH("名前",社員リスト[#Headers],0),FALSE),"")</f>
        <v/>
      </c>
      <c r="L22" s="74" t="str">
        <f>_xlfn.IFNA(VLOOKUP(MSSリスト!J22,社員リスト[],MATCH("名前",社員リスト[#Headers],0),FALSE),"")</f>
        <v/>
      </c>
      <c r="M22" s="526">
        <f>MSSリスト!K22</f>
        <v>0</v>
      </c>
      <c r="N22" s="76" t="str">
        <f>IF(MSSリスト!L22="","",_xlfn.IFNA(VLOOKUP(MSSリスト!L22,設計契約リスト[],MATCH("設計契約",設計契約リスト[#Headers],0),FALSE),""))</f>
        <v/>
      </c>
      <c r="O22" s="74" t="str">
        <f>_xlfn.IFNA(VLOOKUP(MSSリスト!M22,契約ブランドリスト[],MATCH("ブランド",契約ブランドリスト[#Headers],0),FALSE),"")</f>
        <v/>
      </c>
      <c r="P22" s="74">
        <f>MSSリスト!N22</f>
        <v>0</v>
      </c>
      <c r="Q22" s="77">
        <f>MSSリスト!O22</f>
        <v>0</v>
      </c>
      <c r="R22" s="77">
        <f>MSSリスト!P22</f>
        <v>0</v>
      </c>
      <c r="S22" s="77">
        <f>MSSリスト!Q22</f>
        <v>0</v>
      </c>
      <c r="T22" s="77">
        <f>MSSリスト!R22</f>
        <v>0</v>
      </c>
      <c r="U22" s="77">
        <f>MSSリスト!S22</f>
        <v>0</v>
      </c>
      <c r="V22" s="78">
        <f>MSSリスト!T22</f>
        <v>0</v>
      </c>
    </row>
    <row r="23" spans="1:22">
      <c r="A23" s="87">
        <v>282082</v>
      </c>
      <c r="B23" s="85" t="str">
        <f>IF(レコードID&lt;&gt;"",HYPERLINK("https://nextoffice.next-hd.co.jp/pleasanter/items/"&amp;レコードID&amp;"/edit","▶▶▶プリザンターMSSを開く"),"✕✕✕")</f>
        <v>▶▶▶プリザンターMSSを開く</v>
      </c>
      <c r="D23" s="84" t="str">
        <f>IF(MSSリスト!B23&lt;&gt;"",HYPERLINK("https://nextoffice.next-hd.co.jp/pleasanter/items/"&amp;MSSリスト!B23&amp;"/edit","開く"),"")</f>
        <v/>
      </c>
      <c r="E23" s="76" t="str">
        <f>_xlfn.IFNA(VLOOKUP(MSSリスト!C23,ステータス一覧[],MATCH("ステータス",ステータス一覧[#Headers],0),FALSE),"")</f>
        <v/>
      </c>
      <c r="F23" s="75">
        <f>MSSリスト!D23</f>
        <v>0</v>
      </c>
      <c r="G23" s="76" t="str">
        <f>_xlfn.IFNA(VLOOKUP(MSSリスト!E23,シート分類一覧[],MATCH("種別",シート分類一覧[#Headers],0),FALSE),"")</f>
        <v/>
      </c>
      <c r="H23" s="74" t="str">
        <f>_xlfn.IFNA(VLOOKUP(MSSリスト!F23,営業所リスト[],MATCH("店舗名",営業所リスト[#Headers],0),FALSE),"")</f>
        <v/>
      </c>
      <c r="I23" s="74" t="str">
        <f>_xlfn.IFNA(VLOOKUP(MSSリスト!G23,社員リスト[],MATCH("名前",社員リスト[#Headers],0),FALSE),"")</f>
        <v/>
      </c>
      <c r="J23" s="74" t="str">
        <f>_xlfn.IFNA(VLOOKUP(MSSリスト!H23,社員リスト[],MATCH("名前",社員リスト[#Headers],0),FALSE),"")</f>
        <v/>
      </c>
      <c r="K23" s="74" t="str">
        <f>_xlfn.IFNA(VLOOKUP(MSSリスト!I23,社員リスト[],MATCH("名前",社員リスト[#Headers],0),FALSE),"")</f>
        <v/>
      </c>
      <c r="L23" s="74" t="str">
        <f>_xlfn.IFNA(VLOOKUP(MSSリスト!J23,社員リスト[],MATCH("名前",社員リスト[#Headers],0),FALSE),"")</f>
        <v/>
      </c>
      <c r="M23" s="526">
        <f>MSSリスト!K23</f>
        <v>0</v>
      </c>
      <c r="N23" s="76" t="str">
        <f>IF(MSSリスト!L23="","",_xlfn.IFNA(VLOOKUP(MSSリスト!L23,設計契約リスト[],MATCH("設計契約",設計契約リスト[#Headers],0),FALSE),""))</f>
        <v/>
      </c>
      <c r="O23" s="74" t="str">
        <f>_xlfn.IFNA(VLOOKUP(MSSリスト!M23,契約ブランドリスト[],MATCH("ブランド",契約ブランドリスト[#Headers],0),FALSE),"")</f>
        <v/>
      </c>
      <c r="P23" s="74">
        <f>MSSリスト!N23</f>
        <v>0</v>
      </c>
      <c r="Q23" s="77">
        <f>MSSリスト!O23</f>
        <v>0</v>
      </c>
      <c r="R23" s="77">
        <f>MSSリスト!P23</f>
        <v>0</v>
      </c>
      <c r="S23" s="77">
        <f>MSSリスト!Q23</f>
        <v>0</v>
      </c>
      <c r="T23" s="77">
        <f>MSSリスト!R23</f>
        <v>0</v>
      </c>
      <c r="U23" s="77">
        <f>MSSリスト!S23</f>
        <v>0</v>
      </c>
      <c r="V23" s="78">
        <f>MSSリスト!T23</f>
        <v>0</v>
      </c>
    </row>
    <row r="24" spans="1:22">
      <c r="A24" s="87" t="str">
        <f>IF(粗利益計算書ID="189113","",粗利益計算書ID)</f>
        <v>282085</v>
      </c>
      <c r="B24" s="85" t="str">
        <f>IF(A24&lt;&gt;"",HYPERLINK("https://nextoffice.next-hd.co.jp/pleasanter/items/"&amp;A24&amp;"/edit","▶▶▶粗利益計算書を開く"),"✕✕✕ 粗利益計算書は未登録")</f>
        <v>▶▶▶粗利益計算書を開く</v>
      </c>
      <c r="D24" s="84" t="str">
        <f>IF(MSSリスト!B24&lt;&gt;"",HYPERLINK("https://nextoffice.next-hd.co.jp/pleasanter/items/"&amp;MSSリスト!B24&amp;"/edit","開く"),"")</f>
        <v/>
      </c>
      <c r="E24" s="76" t="str">
        <f>_xlfn.IFNA(VLOOKUP(MSSリスト!C24,ステータス一覧[],MATCH("ステータス",ステータス一覧[#Headers],0),FALSE),"")</f>
        <v/>
      </c>
      <c r="F24" s="75">
        <f>MSSリスト!D24</f>
        <v>0</v>
      </c>
      <c r="G24" s="76" t="str">
        <f>_xlfn.IFNA(VLOOKUP(MSSリスト!E24,シート分類一覧[],MATCH("種別",シート分類一覧[#Headers],0),FALSE),"")</f>
        <v/>
      </c>
      <c r="H24" s="74" t="str">
        <f>_xlfn.IFNA(VLOOKUP(MSSリスト!F24,営業所リスト[],MATCH("店舗名",営業所リスト[#Headers],0),FALSE),"")</f>
        <v/>
      </c>
      <c r="I24" s="74" t="str">
        <f>_xlfn.IFNA(VLOOKUP(MSSリスト!G24,社員リスト[],MATCH("名前",社員リスト[#Headers],0),FALSE),"")</f>
        <v/>
      </c>
      <c r="J24" s="74" t="str">
        <f>_xlfn.IFNA(VLOOKUP(MSSリスト!H24,社員リスト[],MATCH("名前",社員リスト[#Headers],0),FALSE),"")</f>
        <v/>
      </c>
      <c r="K24" s="74" t="str">
        <f>_xlfn.IFNA(VLOOKUP(MSSリスト!I24,社員リスト[],MATCH("名前",社員リスト[#Headers],0),FALSE),"")</f>
        <v/>
      </c>
      <c r="L24" s="74" t="str">
        <f>_xlfn.IFNA(VLOOKUP(MSSリスト!J24,社員リスト[],MATCH("名前",社員リスト[#Headers],0),FALSE),"")</f>
        <v/>
      </c>
      <c r="M24" s="526">
        <f>MSSリスト!K24</f>
        <v>0</v>
      </c>
      <c r="N24" s="76" t="str">
        <f>IF(MSSリスト!L24="","",_xlfn.IFNA(VLOOKUP(MSSリスト!L24,設計契約リスト[],MATCH("設計契約",設計契約リスト[#Headers],0),FALSE),""))</f>
        <v/>
      </c>
      <c r="O24" s="74" t="str">
        <f>_xlfn.IFNA(VLOOKUP(MSSリスト!M24,契約ブランドリスト[],MATCH("ブランド",契約ブランドリスト[#Headers],0),FALSE),"")</f>
        <v/>
      </c>
      <c r="P24" s="74">
        <f>MSSリスト!N24</f>
        <v>0</v>
      </c>
      <c r="Q24" s="77">
        <f>MSSリスト!O24</f>
        <v>0</v>
      </c>
      <c r="R24" s="77">
        <f>MSSリスト!P24</f>
        <v>0</v>
      </c>
      <c r="S24" s="77">
        <f>MSSリスト!Q24</f>
        <v>0</v>
      </c>
      <c r="T24" s="77">
        <f>MSSリスト!R24</f>
        <v>0</v>
      </c>
      <c r="U24" s="77">
        <f>MSSリスト!S24</f>
        <v>0</v>
      </c>
      <c r="V24" s="78">
        <f>MSSリスト!T24</f>
        <v>0</v>
      </c>
    </row>
    <row r="25" spans="1:22">
      <c r="A25" s="87" t="str">
        <f>IF(リードタイム算定ID="116503","",リードタイム算定ID)</f>
        <v>284957</v>
      </c>
      <c r="B25" s="85" t="str">
        <f>IF(A25&lt;&gt;"",HYPERLINK("https://nextoffice.next-hd.co.jp/pleasanter/items/"&amp;A25&amp;"/edit","▶▶▶リードタイム算定を開く"),"✕✕✕ リードタイム算定は未登録")</f>
        <v>▶▶▶リードタイム算定を開く</v>
      </c>
      <c r="D25" s="84" t="str">
        <f>IF(MSSリスト!B25&lt;&gt;"",HYPERLINK("https://nextoffice.next-hd.co.jp/pleasanter/items/"&amp;MSSリスト!B25&amp;"/edit","開く"),"")</f>
        <v/>
      </c>
      <c r="E25" s="76" t="str">
        <f>_xlfn.IFNA(VLOOKUP(MSSリスト!C25,ステータス一覧[],MATCH("ステータス",ステータス一覧[#Headers],0),FALSE),"")</f>
        <v/>
      </c>
      <c r="F25" s="75">
        <f>MSSリスト!D25</f>
        <v>0</v>
      </c>
      <c r="G25" s="76" t="str">
        <f>_xlfn.IFNA(VLOOKUP(MSSリスト!E25,シート分類一覧[],MATCH("種別",シート分類一覧[#Headers],0),FALSE),"")</f>
        <v/>
      </c>
      <c r="H25" s="74" t="str">
        <f>_xlfn.IFNA(VLOOKUP(MSSリスト!F25,営業所リスト[],MATCH("店舗名",営業所リスト[#Headers],0),FALSE),"")</f>
        <v/>
      </c>
      <c r="I25" s="74" t="str">
        <f>_xlfn.IFNA(VLOOKUP(MSSリスト!G25,社員リスト[],MATCH("名前",社員リスト[#Headers],0),FALSE),"")</f>
        <v/>
      </c>
      <c r="J25" s="74" t="str">
        <f>_xlfn.IFNA(VLOOKUP(MSSリスト!H25,社員リスト[],MATCH("名前",社員リスト[#Headers],0),FALSE),"")</f>
        <v/>
      </c>
      <c r="K25" s="74" t="str">
        <f>_xlfn.IFNA(VLOOKUP(MSSリスト!I25,社員リスト[],MATCH("名前",社員リスト[#Headers],0),FALSE),"")</f>
        <v/>
      </c>
      <c r="L25" s="74" t="str">
        <f>_xlfn.IFNA(VLOOKUP(MSSリスト!J25,社員リスト[],MATCH("名前",社員リスト[#Headers],0),FALSE),"")</f>
        <v/>
      </c>
      <c r="M25" s="526">
        <f>MSSリスト!K25</f>
        <v>0</v>
      </c>
      <c r="N25" s="76" t="str">
        <f>IF(MSSリスト!L25="","",_xlfn.IFNA(VLOOKUP(MSSリスト!L25,設計契約リスト[],MATCH("設計契約",設計契約リスト[#Headers],0),FALSE),""))</f>
        <v/>
      </c>
      <c r="O25" s="74" t="str">
        <f>_xlfn.IFNA(VLOOKUP(MSSリスト!M25,契約ブランドリスト[],MATCH("ブランド",契約ブランドリスト[#Headers],0),FALSE),"")</f>
        <v/>
      </c>
      <c r="P25" s="74">
        <f>MSSリスト!N25</f>
        <v>0</v>
      </c>
      <c r="Q25" s="77">
        <f>MSSリスト!O25</f>
        <v>0</v>
      </c>
      <c r="R25" s="77">
        <f>MSSリスト!P25</f>
        <v>0</v>
      </c>
      <c r="S25" s="77">
        <f>MSSリスト!Q25</f>
        <v>0</v>
      </c>
      <c r="T25" s="77">
        <f>MSSリスト!R25</f>
        <v>0</v>
      </c>
      <c r="U25" s="77">
        <f>MSSリスト!S25</f>
        <v>0</v>
      </c>
      <c r="V25" s="78">
        <f>MSSリスト!T25</f>
        <v>0</v>
      </c>
    </row>
    <row r="26" spans="1:22">
      <c r="A26" s="87" t="str">
        <f>IF(追加変更ID="190731","",追加変更ID)</f>
        <v>369020</v>
      </c>
      <c r="B26" s="85" t="str">
        <f>IF(A26&lt;&gt;"",HYPERLINK("https://nextoffice.next-hd.co.jp/pleasanter/items/"&amp;A26&amp;"/edit","▶▶▶追加変更を開く"),"✕✕✕ 追加変更は未登録")</f>
        <v>▶▶▶追加変更を開く</v>
      </c>
      <c r="D26" s="84" t="str">
        <f>IF(MSSリスト!B26&lt;&gt;"",HYPERLINK("https://nextoffice.next-hd.co.jp/pleasanter/items/"&amp;MSSリスト!B26&amp;"/edit","開く"),"")</f>
        <v/>
      </c>
      <c r="E26" s="76" t="str">
        <f>_xlfn.IFNA(VLOOKUP(MSSリスト!C26,ステータス一覧[],MATCH("ステータス",ステータス一覧[#Headers],0),FALSE),"")</f>
        <v/>
      </c>
      <c r="F26" s="75">
        <f>MSSリスト!D26</f>
        <v>0</v>
      </c>
      <c r="G26" s="76" t="str">
        <f>_xlfn.IFNA(VLOOKUP(MSSリスト!E26,シート分類一覧[],MATCH("種別",シート分類一覧[#Headers],0),FALSE),"")</f>
        <v/>
      </c>
      <c r="H26" s="74" t="str">
        <f>_xlfn.IFNA(VLOOKUP(MSSリスト!F26,営業所リスト[],MATCH("店舗名",営業所リスト[#Headers],0),FALSE),"")</f>
        <v/>
      </c>
      <c r="I26" s="74" t="str">
        <f>_xlfn.IFNA(VLOOKUP(MSSリスト!G26,社員リスト[],MATCH("名前",社員リスト[#Headers],0),FALSE),"")</f>
        <v/>
      </c>
      <c r="J26" s="74" t="str">
        <f>_xlfn.IFNA(VLOOKUP(MSSリスト!H26,社員リスト[],MATCH("名前",社員リスト[#Headers],0),FALSE),"")</f>
        <v/>
      </c>
      <c r="K26" s="74" t="str">
        <f>_xlfn.IFNA(VLOOKUP(MSSリスト!I26,社員リスト[],MATCH("名前",社員リスト[#Headers],0),FALSE),"")</f>
        <v/>
      </c>
      <c r="L26" s="74" t="str">
        <f>_xlfn.IFNA(VLOOKUP(MSSリスト!J26,社員リスト[],MATCH("名前",社員リスト[#Headers],0),FALSE),"")</f>
        <v/>
      </c>
      <c r="M26" s="526">
        <f>MSSリスト!K26</f>
        <v>0</v>
      </c>
      <c r="N26" s="76" t="str">
        <f>IF(MSSリスト!L26="","",_xlfn.IFNA(VLOOKUP(MSSリスト!L26,設計契約リスト[],MATCH("設計契約",設計契約リスト[#Headers],0),FALSE),""))</f>
        <v/>
      </c>
      <c r="O26" s="74" t="str">
        <f>_xlfn.IFNA(VLOOKUP(MSSリスト!M26,契約ブランドリスト[],MATCH("ブランド",契約ブランドリスト[#Headers],0),FALSE),"")</f>
        <v/>
      </c>
      <c r="P26" s="74">
        <f>MSSリスト!N26</f>
        <v>0</v>
      </c>
      <c r="Q26" s="77">
        <f>MSSリスト!O26</f>
        <v>0</v>
      </c>
      <c r="R26" s="77">
        <f>MSSリスト!P26</f>
        <v>0</v>
      </c>
      <c r="S26" s="77">
        <f>MSSリスト!Q26</f>
        <v>0</v>
      </c>
      <c r="T26" s="77">
        <f>MSSリスト!R26</f>
        <v>0</v>
      </c>
      <c r="U26" s="77">
        <f>MSSリスト!S26</f>
        <v>0</v>
      </c>
      <c r="V26" s="78">
        <f>MSSリスト!T26</f>
        <v>0</v>
      </c>
    </row>
    <row r="27" spans="1:22">
      <c r="A27" s="87" t="str">
        <f>IF(工期計算ID="203147","",工期計算ID)</f>
        <v>282083</v>
      </c>
      <c r="B27" s="85" t="str">
        <f>IF(A27&lt;&gt;"",HYPERLINK("https://nextoffice.next-hd.co.jp/pleasanter/items/"&amp;A27&amp;"/edit","▶▶▶工期計算を開く"),"✕✕✕ 工期計算は未登録")</f>
        <v>▶▶▶工期計算を開く</v>
      </c>
      <c r="D27" s="84" t="str">
        <f>IF(MSSリスト!B27&lt;&gt;"",HYPERLINK("https://nextoffice.next-hd.co.jp/pleasanter/items/"&amp;MSSリスト!B27&amp;"/edit","開く"),"")</f>
        <v/>
      </c>
      <c r="E27" s="76" t="str">
        <f>_xlfn.IFNA(VLOOKUP(MSSリスト!C27,ステータス一覧[],MATCH("ステータス",ステータス一覧[#Headers],0),FALSE),"")</f>
        <v/>
      </c>
      <c r="F27" s="75">
        <f>MSSリスト!D27</f>
        <v>0</v>
      </c>
      <c r="G27" s="76" t="str">
        <f>_xlfn.IFNA(VLOOKUP(MSSリスト!E27,シート分類一覧[],MATCH("種別",シート分類一覧[#Headers],0),FALSE),"")</f>
        <v/>
      </c>
      <c r="H27" s="74" t="str">
        <f>_xlfn.IFNA(VLOOKUP(MSSリスト!F27,営業所リスト[],MATCH("店舗名",営業所リスト[#Headers],0),FALSE),"")</f>
        <v/>
      </c>
      <c r="I27" s="74" t="str">
        <f>_xlfn.IFNA(VLOOKUP(MSSリスト!G27,社員リスト[],MATCH("名前",社員リスト[#Headers],0),FALSE),"")</f>
        <v/>
      </c>
      <c r="J27" s="74" t="str">
        <f>_xlfn.IFNA(VLOOKUP(MSSリスト!H27,社員リスト[],MATCH("名前",社員リスト[#Headers],0),FALSE),"")</f>
        <v/>
      </c>
      <c r="K27" s="74" t="str">
        <f>_xlfn.IFNA(VLOOKUP(MSSリスト!I27,社員リスト[],MATCH("名前",社員リスト[#Headers],0),FALSE),"")</f>
        <v/>
      </c>
      <c r="L27" s="74" t="str">
        <f>_xlfn.IFNA(VLOOKUP(MSSリスト!J27,社員リスト[],MATCH("名前",社員リスト[#Headers],0),FALSE),"")</f>
        <v/>
      </c>
      <c r="M27" s="526">
        <f>MSSリスト!K27</f>
        <v>0</v>
      </c>
      <c r="N27" s="76" t="str">
        <f>IF(MSSリスト!L27="","",_xlfn.IFNA(VLOOKUP(MSSリスト!L27,設計契約リスト[],MATCH("設計契約",設計契約リスト[#Headers],0),FALSE),""))</f>
        <v/>
      </c>
      <c r="O27" s="74" t="str">
        <f>_xlfn.IFNA(VLOOKUP(MSSリスト!M27,契約ブランドリスト[],MATCH("ブランド",契約ブランドリスト[#Headers],0),FALSE),"")</f>
        <v/>
      </c>
      <c r="P27" s="74">
        <f>MSSリスト!N27</f>
        <v>0</v>
      </c>
      <c r="Q27" s="77">
        <f>MSSリスト!O27</f>
        <v>0</v>
      </c>
      <c r="R27" s="77">
        <f>MSSリスト!P27</f>
        <v>0</v>
      </c>
      <c r="S27" s="77">
        <f>MSSリスト!Q27</f>
        <v>0</v>
      </c>
      <c r="T27" s="77">
        <f>MSSリスト!R27</f>
        <v>0</v>
      </c>
      <c r="U27" s="77">
        <f>MSSリスト!S27</f>
        <v>0</v>
      </c>
      <c r="V27" s="78">
        <f>MSSリスト!T27</f>
        <v>0</v>
      </c>
    </row>
    <row r="28" spans="1:22">
      <c r="A28" s="87" t="str">
        <f>IF(お客様データID="212512","",お客様データID)</f>
        <v>283993</v>
      </c>
      <c r="B28" s="85" t="str">
        <f>IF(A28&lt;&gt;"",HYPERLINK("https://nextoffice.next-hd.co.jp/pleasanter/items/"&amp;A28&amp;"/edit","▶▶▶お客様データを開く"),"✕✕✕ お客様データは未登録")</f>
        <v>▶▶▶お客様データを開く</v>
      </c>
      <c r="D28" s="84" t="str">
        <f>IF(MSSリスト!B28&lt;&gt;"",HYPERLINK("https://nextoffice.next-hd.co.jp/pleasanter/items/"&amp;MSSリスト!B28&amp;"/edit","開く"),"")</f>
        <v/>
      </c>
      <c r="E28" s="76" t="str">
        <f>_xlfn.IFNA(VLOOKUP(MSSリスト!C28,ステータス一覧[],MATCH("ステータス",ステータス一覧[#Headers],0),FALSE),"")</f>
        <v/>
      </c>
      <c r="F28" s="75">
        <f>MSSリスト!D28</f>
        <v>0</v>
      </c>
      <c r="G28" s="76" t="str">
        <f>_xlfn.IFNA(VLOOKUP(MSSリスト!E28,シート分類一覧[],MATCH("種別",シート分類一覧[#Headers],0),FALSE),"")</f>
        <v/>
      </c>
      <c r="H28" s="74" t="str">
        <f>_xlfn.IFNA(VLOOKUP(MSSリスト!F28,営業所リスト[],MATCH("店舗名",営業所リスト[#Headers],0),FALSE),"")</f>
        <v/>
      </c>
      <c r="I28" s="74" t="str">
        <f>_xlfn.IFNA(VLOOKUP(MSSリスト!G28,社員リスト[],MATCH("名前",社員リスト[#Headers],0),FALSE),"")</f>
        <v/>
      </c>
      <c r="J28" s="74" t="str">
        <f>_xlfn.IFNA(VLOOKUP(MSSリスト!H28,社員リスト[],MATCH("名前",社員リスト[#Headers],0),FALSE),"")</f>
        <v/>
      </c>
      <c r="K28" s="74" t="str">
        <f>_xlfn.IFNA(VLOOKUP(MSSリスト!I28,社員リスト[],MATCH("名前",社員リスト[#Headers],0),FALSE),"")</f>
        <v/>
      </c>
      <c r="L28" s="74" t="str">
        <f>_xlfn.IFNA(VLOOKUP(MSSリスト!J28,社員リスト[],MATCH("名前",社員リスト[#Headers],0),FALSE),"")</f>
        <v/>
      </c>
      <c r="M28" s="526">
        <f>MSSリスト!K28</f>
        <v>0</v>
      </c>
      <c r="N28" s="76" t="str">
        <f>IF(MSSリスト!L28="","",_xlfn.IFNA(VLOOKUP(MSSリスト!L28,設計契約リスト[],MATCH("設計契約",設計契約リスト[#Headers],0),FALSE),""))</f>
        <v/>
      </c>
      <c r="O28" s="74" t="str">
        <f>_xlfn.IFNA(VLOOKUP(MSSリスト!M28,契約ブランドリスト[],MATCH("ブランド",契約ブランドリスト[#Headers],0),FALSE),"")</f>
        <v/>
      </c>
      <c r="P28" s="74">
        <f>MSSリスト!N28</f>
        <v>0</v>
      </c>
      <c r="Q28" s="77">
        <f>MSSリスト!O28</f>
        <v>0</v>
      </c>
      <c r="R28" s="77">
        <f>MSSリスト!P28</f>
        <v>0</v>
      </c>
      <c r="S28" s="77">
        <f>MSSリスト!Q28</f>
        <v>0</v>
      </c>
      <c r="T28" s="77">
        <f>MSSリスト!R28</f>
        <v>0</v>
      </c>
      <c r="U28" s="77">
        <f>MSSリスト!S28</f>
        <v>0</v>
      </c>
      <c r="V28" s="78">
        <f>MSSリスト!T28</f>
        <v>0</v>
      </c>
    </row>
    <row r="29" spans="1:22">
      <c r="A29" s="86"/>
      <c r="D29" s="84" t="str">
        <f>IF(MSSリスト!B29&lt;&gt;"",HYPERLINK("https://nextoffice.next-hd.co.jp/pleasanter/items/"&amp;MSSリスト!B29&amp;"/edit","開く"),"")</f>
        <v/>
      </c>
      <c r="E29" s="76" t="str">
        <f>_xlfn.IFNA(VLOOKUP(MSSリスト!C29,ステータス一覧[],MATCH("ステータス",ステータス一覧[#Headers],0),FALSE),"")</f>
        <v/>
      </c>
      <c r="F29" s="75">
        <f>MSSリスト!D29</f>
        <v>0</v>
      </c>
      <c r="G29" s="76" t="str">
        <f>_xlfn.IFNA(VLOOKUP(MSSリスト!E29,シート分類一覧[],MATCH("種別",シート分類一覧[#Headers],0),FALSE),"")</f>
        <v/>
      </c>
      <c r="H29" s="74" t="str">
        <f>_xlfn.IFNA(VLOOKUP(MSSリスト!F29,営業所リスト[],MATCH("店舗名",営業所リスト[#Headers],0),FALSE),"")</f>
        <v/>
      </c>
      <c r="I29" s="74" t="str">
        <f>_xlfn.IFNA(VLOOKUP(MSSリスト!G29,社員リスト[],MATCH("名前",社員リスト[#Headers],0),FALSE),"")</f>
        <v/>
      </c>
      <c r="J29" s="74" t="str">
        <f>_xlfn.IFNA(VLOOKUP(MSSリスト!H29,社員リスト[],MATCH("名前",社員リスト[#Headers],0),FALSE),"")</f>
        <v/>
      </c>
      <c r="K29" s="74" t="str">
        <f>_xlfn.IFNA(VLOOKUP(MSSリスト!I29,社員リスト[],MATCH("名前",社員リスト[#Headers],0),FALSE),"")</f>
        <v/>
      </c>
      <c r="L29" s="74" t="str">
        <f>_xlfn.IFNA(VLOOKUP(MSSリスト!J29,社員リスト[],MATCH("名前",社員リスト[#Headers],0),FALSE),"")</f>
        <v/>
      </c>
      <c r="M29" s="526">
        <f>MSSリスト!K29</f>
        <v>0</v>
      </c>
      <c r="N29" s="76" t="str">
        <f>IF(MSSリスト!L29="","",_xlfn.IFNA(VLOOKUP(MSSリスト!L29,設計契約リスト[],MATCH("設計契約",設計契約リスト[#Headers],0),FALSE),""))</f>
        <v/>
      </c>
      <c r="O29" s="74" t="str">
        <f>_xlfn.IFNA(VLOOKUP(MSSリスト!M29,契約ブランドリスト[],MATCH("ブランド",契約ブランドリスト[#Headers],0),FALSE),"")</f>
        <v/>
      </c>
      <c r="P29" s="74">
        <f>MSSリスト!N29</f>
        <v>0</v>
      </c>
      <c r="Q29" s="77">
        <f>MSSリスト!O29</f>
        <v>0</v>
      </c>
      <c r="R29" s="77">
        <f>MSSリスト!P29</f>
        <v>0</v>
      </c>
      <c r="S29" s="77">
        <f>MSSリスト!Q29</f>
        <v>0</v>
      </c>
      <c r="T29" s="77">
        <f>MSSリスト!R29</f>
        <v>0</v>
      </c>
      <c r="U29" s="77">
        <f>MSSリスト!S29</f>
        <v>0</v>
      </c>
      <c r="V29" s="78">
        <f>MSSリスト!T29</f>
        <v>0</v>
      </c>
    </row>
    <row r="30" spans="1:22">
      <c r="A30" s="86"/>
      <c r="D30" s="84" t="str">
        <f>IF(MSSリスト!B30&lt;&gt;"",HYPERLINK("https://nextoffice.next-hd.co.jp/pleasanter/items/"&amp;MSSリスト!B30&amp;"/edit","開く"),"")</f>
        <v/>
      </c>
      <c r="E30" s="76" t="str">
        <f>_xlfn.IFNA(VLOOKUP(MSSリスト!C30,ステータス一覧[],MATCH("ステータス",ステータス一覧[#Headers],0),FALSE),"")</f>
        <v/>
      </c>
      <c r="F30" s="75">
        <f>MSSリスト!D30</f>
        <v>0</v>
      </c>
      <c r="G30" s="76" t="str">
        <f>_xlfn.IFNA(VLOOKUP(MSSリスト!E30,シート分類一覧[],MATCH("種別",シート分類一覧[#Headers],0),FALSE),"")</f>
        <v/>
      </c>
      <c r="H30" s="74" t="str">
        <f>_xlfn.IFNA(VLOOKUP(MSSリスト!F30,営業所リスト[],MATCH("店舗名",営業所リスト[#Headers],0),FALSE),"")</f>
        <v/>
      </c>
      <c r="I30" s="74" t="str">
        <f>_xlfn.IFNA(VLOOKUP(MSSリスト!G30,社員リスト[],MATCH("名前",社員リスト[#Headers],0),FALSE),"")</f>
        <v/>
      </c>
      <c r="J30" s="74" t="str">
        <f>_xlfn.IFNA(VLOOKUP(MSSリスト!H30,社員リスト[],MATCH("名前",社員リスト[#Headers],0),FALSE),"")</f>
        <v/>
      </c>
      <c r="K30" s="74" t="str">
        <f>_xlfn.IFNA(VLOOKUP(MSSリスト!I30,社員リスト[],MATCH("名前",社員リスト[#Headers],0),FALSE),"")</f>
        <v/>
      </c>
      <c r="L30" s="74" t="str">
        <f>_xlfn.IFNA(VLOOKUP(MSSリスト!J30,社員リスト[],MATCH("名前",社員リスト[#Headers],0),FALSE),"")</f>
        <v/>
      </c>
      <c r="M30" s="526">
        <f>MSSリスト!K30</f>
        <v>0</v>
      </c>
      <c r="N30" s="76" t="str">
        <f>IF(MSSリスト!L30="","",_xlfn.IFNA(VLOOKUP(MSSリスト!L30,設計契約リスト[],MATCH("設計契約",設計契約リスト[#Headers],0),FALSE),""))</f>
        <v/>
      </c>
      <c r="O30" s="74" t="str">
        <f>_xlfn.IFNA(VLOOKUP(MSSリスト!M30,契約ブランドリスト[],MATCH("ブランド",契約ブランドリスト[#Headers],0),FALSE),"")</f>
        <v/>
      </c>
      <c r="P30" s="74">
        <f>MSSリスト!N30</f>
        <v>0</v>
      </c>
      <c r="Q30" s="77">
        <f>MSSリスト!O30</f>
        <v>0</v>
      </c>
      <c r="R30" s="77">
        <f>MSSリスト!P30</f>
        <v>0</v>
      </c>
      <c r="S30" s="77">
        <f>MSSリスト!Q30</f>
        <v>0</v>
      </c>
      <c r="T30" s="77">
        <f>MSSリスト!R30</f>
        <v>0</v>
      </c>
      <c r="U30" s="77">
        <f>MSSリスト!S30</f>
        <v>0</v>
      </c>
      <c r="V30" s="78">
        <f>MSSリスト!T30</f>
        <v>0</v>
      </c>
    </row>
    <row r="31" spans="1:22">
      <c r="D31" s="84" t="str">
        <f>IF(MSSリスト!B31&lt;&gt;"",HYPERLINK("https://nextoffice.next-hd.co.jp/pleasanter/items/"&amp;MSSリスト!B31&amp;"/edit","開く"),"")</f>
        <v/>
      </c>
      <c r="E31" s="76" t="str">
        <f>_xlfn.IFNA(VLOOKUP(MSSリスト!C31,ステータス一覧[],MATCH("ステータス",ステータス一覧[#Headers],0),FALSE),"")</f>
        <v/>
      </c>
      <c r="F31" s="75">
        <f>MSSリスト!D31</f>
        <v>0</v>
      </c>
      <c r="G31" s="76" t="str">
        <f>_xlfn.IFNA(VLOOKUP(MSSリスト!E31,シート分類一覧[],MATCH("種別",シート分類一覧[#Headers],0),FALSE),"")</f>
        <v/>
      </c>
      <c r="H31" s="74" t="str">
        <f>_xlfn.IFNA(VLOOKUP(MSSリスト!F31,営業所リスト[],MATCH("店舗名",営業所リスト[#Headers],0),FALSE),"")</f>
        <v/>
      </c>
      <c r="I31" s="74" t="str">
        <f>_xlfn.IFNA(VLOOKUP(MSSリスト!G31,社員リスト[],MATCH("名前",社員リスト[#Headers],0),FALSE),"")</f>
        <v/>
      </c>
      <c r="J31" s="74" t="str">
        <f>_xlfn.IFNA(VLOOKUP(MSSリスト!H31,社員リスト[],MATCH("名前",社員リスト[#Headers],0),FALSE),"")</f>
        <v/>
      </c>
      <c r="K31" s="74" t="str">
        <f>_xlfn.IFNA(VLOOKUP(MSSリスト!I31,社員リスト[],MATCH("名前",社員リスト[#Headers],0),FALSE),"")</f>
        <v/>
      </c>
      <c r="L31" s="74" t="str">
        <f>_xlfn.IFNA(VLOOKUP(MSSリスト!J31,社員リスト[],MATCH("名前",社員リスト[#Headers],0),FALSE),"")</f>
        <v/>
      </c>
      <c r="M31" s="526">
        <f>MSSリスト!K31</f>
        <v>0</v>
      </c>
      <c r="N31" s="76" t="str">
        <f>IF(MSSリスト!L31="","",_xlfn.IFNA(VLOOKUP(MSSリスト!L31,設計契約リスト[],MATCH("設計契約",設計契約リスト[#Headers],0),FALSE),""))</f>
        <v/>
      </c>
      <c r="O31" s="74" t="str">
        <f>_xlfn.IFNA(VLOOKUP(MSSリスト!M31,契約ブランドリスト[],MATCH("ブランド",契約ブランドリスト[#Headers],0),FALSE),"")</f>
        <v/>
      </c>
      <c r="P31" s="74">
        <f>MSSリスト!N31</f>
        <v>0</v>
      </c>
      <c r="Q31" s="77">
        <f>MSSリスト!O31</f>
        <v>0</v>
      </c>
      <c r="R31" s="77">
        <f>MSSリスト!P31</f>
        <v>0</v>
      </c>
      <c r="S31" s="77">
        <f>MSSリスト!Q31</f>
        <v>0</v>
      </c>
      <c r="T31" s="77">
        <f>MSSリスト!R31</f>
        <v>0</v>
      </c>
      <c r="U31" s="77">
        <f>MSSリスト!S31</f>
        <v>0</v>
      </c>
      <c r="V31" s="78">
        <f>MSSリスト!T31</f>
        <v>0</v>
      </c>
    </row>
    <row r="32" spans="1:22">
      <c r="D32" s="84" t="str">
        <f>IF(MSSリスト!B32&lt;&gt;"",HYPERLINK("https://nextoffice.next-hd.co.jp/pleasanter/items/"&amp;MSSリスト!B32&amp;"/edit","開く"),"")</f>
        <v/>
      </c>
      <c r="E32" s="76" t="str">
        <f>_xlfn.IFNA(VLOOKUP(MSSリスト!C32,ステータス一覧[],MATCH("ステータス",ステータス一覧[#Headers],0),FALSE),"")</f>
        <v/>
      </c>
      <c r="F32" s="75">
        <f>MSSリスト!D32</f>
        <v>0</v>
      </c>
      <c r="G32" s="76" t="str">
        <f>_xlfn.IFNA(VLOOKUP(MSSリスト!E32,シート分類一覧[],MATCH("種別",シート分類一覧[#Headers],0),FALSE),"")</f>
        <v/>
      </c>
      <c r="H32" s="74" t="str">
        <f>_xlfn.IFNA(VLOOKUP(MSSリスト!F32,営業所リスト[],MATCH("店舗名",営業所リスト[#Headers],0),FALSE),"")</f>
        <v/>
      </c>
      <c r="I32" s="74" t="str">
        <f>_xlfn.IFNA(VLOOKUP(MSSリスト!G32,社員リスト[],MATCH("名前",社員リスト[#Headers],0),FALSE),"")</f>
        <v/>
      </c>
      <c r="J32" s="74" t="str">
        <f>_xlfn.IFNA(VLOOKUP(MSSリスト!H32,社員リスト[],MATCH("名前",社員リスト[#Headers],0),FALSE),"")</f>
        <v/>
      </c>
      <c r="K32" s="74" t="str">
        <f>_xlfn.IFNA(VLOOKUP(MSSリスト!I32,社員リスト[],MATCH("名前",社員リスト[#Headers],0),FALSE),"")</f>
        <v/>
      </c>
      <c r="L32" s="74" t="str">
        <f>_xlfn.IFNA(VLOOKUP(MSSリスト!J32,社員リスト[],MATCH("名前",社員リスト[#Headers],0),FALSE),"")</f>
        <v/>
      </c>
      <c r="M32" s="526">
        <f>MSSリスト!K32</f>
        <v>0</v>
      </c>
      <c r="N32" s="76" t="str">
        <f>IF(MSSリスト!L32="","",_xlfn.IFNA(VLOOKUP(MSSリスト!L32,設計契約リスト[],MATCH("設計契約",設計契約リスト[#Headers],0),FALSE),""))</f>
        <v/>
      </c>
      <c r="O32" s="74" t="str">
        <f>_xlfn.IFNA(VLOOKUP(MSSリスト!M32,契約ブランドリスト[],MATCH("ブランド",契約ブランドリスト[#Headers],0),FALSE),"")</f>
        <v/>
      </c>
      <c r="P32" s="74">
        <f>MSSリスト!N32</f>
        <v>0</v>
      </c>
      <c r="Q32" s="77">
        <f>MSSリスト!O32</f>
        <v>0</v>
      </c>
      <c r="R32" s="77">
        <f>MSSリスト!P32</f>
        <v>0</v>
      </c>
      <c r="S32" s="77">
        <f>MSSリスト!Q32</f>
        <v>0</v>
      </c>
      <c r="T32" s="77">
        <f>MSSリスト!R32</f>
        <v>0</v>
      </c>
      <c r="U32" s="77">
        <f>MSSリスト!S32</f>
        <v>0</v>
      </c>
      <c r="V32" s="78">
        <f>MSSリスト!T32</f>
        <v>0</v>
      </c>
    </row>
    <row r="33" spans="4:22">
      <c r="D33" s="84" t="str">
        <f>IF(MSSリスト!B33&lt;&gt;"",HYPERLINK("https://nextoffice.next-hd.co.jp/pleasanter/items/"&amp;MSSリスト!B33&amp;"/edit","開く"),"")</f>
        <v/>
      </c>
      <c r="E33" s="76" t="str">
        <f>_xlfn.IFNA(VLOOKUP(MSSリスト!C33,ステータス一覧[],MATCH("ステータス",ステータス一覧[#Headers],0),FALSE),"")</f>
        <v/>
      </c>
      <c r="F33" s="75">
        <f>MSSリスト!D33</f>
        <v>0</v>
      </c>
      <c r="G33" s="76" t="str">
        <f>_xlfn.IFNA(VLOOKUP(MSSリスト!E33,シート分類一覧[],MATCH("種別",シート分類一覧[#Headers],0),FALSE),"")</f>
        <v/>
      </c>
      <c r="H33" s="74" t="str">
        <f>_xlfn.IFNA(VLOOKUP(MSSリスト!F33,営業所リスト[],MATCH("店舗名",営業所リスト[#Headers],0),FALSE),"")</f>
        <v/>
      </c>
      <c r="I33" s="74" t="str">
        <f>_xlfn.IFNA(VLOOKUP(MSSリスト!G33,社員リスト[],MATCH("名前",社員リスト[#Headers],0),FALSE),"")</f>
        <v/>
      </c>
      <c r="J33" s="74" t="str">
        <f>_xlfn.IFNA(VLOOKUP(MSSリスト!H33,社員リスト[],MATCH("名前",社員リスト[#Headers],0),FALSE),"")</f>
        <v/>
      </c>
      <c r="K33" s="74" t="str">
        <f>_xlfn.IFNA(VLOOKUP(MSSリスト!I33,社員リスト[],MATCH("名前",社員リスト[#Headers],0),FALSE),"")</f>
        <v/>
      </c>
      <c r="L33" s="74" t="str">
        <f>_xlfn.IFNA(VLOOKUP(MSSリスト!J33,社員リスト[],MATCH("名前",社員リスト[#Headers],0),FALSE),"")</f>
        <v/>
      </c>
      <c r="M33" s="526">
        <f>MSSリスト!K33</f>
        <v>0</v>
      </c>
      <c r="N33" s="76" t="str">
        <f>IF(MSSリスト!L33="","",_xlfn.IFNA(VLOOKUP(MSSリスト!L33,設計契約リスト[],MATCH("設計契約",設計契約リスト[#Headers],0),FALSE),""))</f>
        <v/>
      </c>
      <c r="O33" s="74" t="str">
        <f>_xlfn.IFNA(VLOOKUP(MSSリスト!M33,契約ブランドリスト[],MATCH("ブランド",契約ブランドリスト[#Headers],0),FALSE),"")</f>
        <v/>
      </c>
      <c r="P33" s="74">
        <f>MSSリスト!N33</f>
        <v>0</v>
      </c>
      <c r="Q33" s="77">
        <f>MSSリスト!O33</f>
        <v>0</v>
      </c>
      <c r="R33" s="77">
        <f>MSSリスト!P33</f>
        <v>0</v>
      </c>
      <c r="S33" s="77">
        <f>MSSリスト!Q33</f>
        <v>0</v>
      </c>
      <c r="T33" s="77">
        <f>MSSリスト!R33</f>
        <v>0</v>
      </c>
      <c r="U33" s="77">
        <f>MSSリスト!S33</f>
        <v>0</v>
      </c>
      <c r="V33" s="78">
        <f>MSSリスト!T33</f>
        <v>0</v>
      </c>
    </row>
    <row r="34" spans="4:22">
      <c r="D34" s="84" t="str">
        <f>IF(MSSリスト!B34&lt;&gt;"",HYPERLINK("https://nextoffice.next-hd.co.jp/pleasanter/items/"&amp;MSSリスト!B34&amp;"/edit","開く"),"")</f>
        <v/>
      </c>
      <c r="E34" s="76" t="str">
        <f>_xlfn.IFNA(VLOOKUP(MSSリスト!C34,ステータス一覧[],MATCH("ステータス",ステータス一覧[#Headers],0),FALSE),"")</f>
        <v/>
      </c>
      <c r="F34" s="75">
        <f>MSSリスト!D34</f>
        <v>0</v>
      </c>
      <c r="G34" s="76" t="str">
        <f>_xlfn.IFNA(VLOOKUP(MSSリスト!E34,シート分類一覧[],MATCH("種別",シート分類一覧[#Headers],0),FALSE),"")</f>
        <v/>
      </c>
      <c r="H34" s="74" t="str">
        <f>_xlfn.IFNA(VLOOKUP(MSSリスト!F34,営業所リスト[],MATCH("店舗名",営業所リスト[#Headers],0),FALSE),"")</f>
        <v/>
      </c>
      <c r="I34" s="74" t="str">
        <f>_xlfn.IFNA(VLOOKUP(MSSリスト!G34,社員リスト[],MATCH("名前",社員リスト[#Headers],0),FALSE),"")</f>
        <v/>
      </c>
      <c r="J34" s="74" t="str">
        <f>_xlfn.IFNA(VLOOKUP(MSSリスト!H34,社員リスト[],MATCH("名前",社員リスト[#Headers],0),FALSE),"")</f>
        <v/>
      </c>
      <c r="K34" s="74" t="str">
        <f>_xlfn.IFNA(VLOOKUP(MSSリスト!I34,社員リスト[],MATCH("名前",社員リスト[#Headers],0),FALSE),"")</f>
        <v/>
      </c>
      <c r="L34" s="74" t="str">
        <f>_xlfn.IFNA(VLOOKUP(MSSリスト!J34,社員リスト[],MATCH("名前",社員リスト[#Headers],0),FALSE),"")</f>
        <v/>
      </c>
      <c r="M34" s="526">
        <f>MSSリスト!K34</f>
        <v>0</v>
      </c>
      <c r="N34" s="76" t="str">
        <f>IF(MSSリスト!L34="","",_xlfn.IFNA(VLOOKUP(MSSリスト!L34,設計契約リスト[],MATCH("設計契約",設計契約リスト[#Headers],0),FALSE),""))</f>
        <v/>
      </c>
      <c r="O34" s="74" t="str">
        <f>_xlfn.IFNA(VLOOKUP(MSSリスト!M34,契約ブランドリスト[],MATCH("ブランド",契約ブランドリスト[#Headers],0),FALSE),"")</f>
        <v/>
      </c>
      <c r="P34" s="74">
        <f>MSSリスト!N34</f>
        <v>0</v>
      </c>
      <c r="Q34" s="77">
        <f>MSSリスト!O34</f>
        <v>0</v>
      </c>
      <c r="R34" s="77">
        <f>MSSリスト!P34</f>
        <v>0</v>
      </c>
      <c r="S34" s="77">
        <f>MSSリスト!Q34</f>
        <v>0</v>
      </c>
      <c r="T34" s="77">
        <f>MSSリスト!R34</f>
        <v>0</v>
      </c>
      <c r="U34" s="77">
        <f>MSSリスト!S34</f>
        <v>0</v>
      </c>
      <c r="V34" s="78">
        <f>MSSリスト!T34</f>
        <v>0</v>
      </c>
    </row>
    <row r="35" spans="4:22">
      <c r="D35" s="84" t="str">
        <f>IF(MSSリスト!B35&lt;&gt;"",HYPERLINK("https://nextoffice.next-hd.co.jp/pleasanter/items/"&amp;MSSリスト!B35&amp;"/edit","開く"),"")</f>
        <v/>
      </c>
      <c r="E35" s="76" t="str">
        <f>_xlfn.IFNA(VLOOKUP(MSSリスト!C35,ステータス一覧[],MATCH("ステータス",ステータス一覧[#Headers],0),FALSE),"")</f>
        <v/>
      </c>
      <c r="F35" s="75">
        <f>MSSリスト!D35</f>
        <v>0</v>
      </c>
      <c r="G35" s="76" t="str">
        <f>_xlfn.IFNA(VLOOKUP(MSSリスト!E35,シート分類一覧[],MATCH("種別",シート分類一覧[#Headers],0),FALSE),"")</f>
        <v/>
      </c>
      <c r="H35" s="74" t="str">
        <f>_xlfn.IFNA(VLOOKUP(MSSリスト!F35,営業所リスト[],MATCH("店舗名",営業所リスト[#Headers],0),FALSE),"")</f>
        <v/>
      </c>
      <c r="I35" s="74" t="str">
        <f>_xlfn.IFNA(VLOOKUP(MSSリスト!G35,社員リスト[],MATCH("名前",社員リスト[#Headers],0),FALSE),"")</f>
        <v/>
      </c>
      <c r="J35" s="74" t="str">
        <f>_xlfn.IFNA(VLOOKUP(MSSリスト!H35,社員リスト[],MATCH("名前",社員リスト[#Headers],0),FALSE),"")</f>
        <v/>
      </c>
      <c r="K35" s="74" t="str">
        <f>_xlfn.IFNA(VLOOKUP(MSSリスト!I35,社員リスト[],MATCH("名前",社員リスト[#Headers],0),FALSE),"")</f>
        <v/>
      </c>
      <c r="L35" s="74" t="str">
        <f>_xlfn.IFNA(VLOOKUP(MSSリスト!J35,社員リスト[],MATCH("名前",社員リスト[#Headers],0),FALSE),"")</f>
        <v/>
      </c>
      <c r="M35" s="526">
        <f>MSSリスト!K35</f>
        <v>0</v>
      </c>
      <c r="N35" s="76" t="str">
        <f>IF(MSSリスト!L35="","",_xlfn.IFNA(VLOOKUP(MSSリスト!L35,設計契約リスト[],MATCH("設計契約",設計契約リスト[#Headers],0),FALSE),""))</f>
        <v/>
      </c>
      <c r="O35" s="74" t="str">
        <f>_xlfn.IFNA(VLOOKUP(MSSリスト!M35,契約ブランドリスト[],MATCH("ブランド",契約ブランドリスト[#Headers],0),FALSE),"")</f>
        <v/>
      </c>
      <c r="P35" s="74">
        <f>MSSリスト!N35</f>
        <v>0</v>
      </c>
      <c r="Q35" s="77">
        <f>MSSリスト!O35</f>
        <v>0</v>
      </c>
      <c r="R35" s="77">
        <f>MSSリスト!P35</f>
        <v>0</v>
      </c>
      <c r="S35" s="77">
        <f>MSSリスト!Q35</f>
        <v>0</v>
      </c>
      <c r="T35" s="77">
        <f>MSSリスト!R35</f>
        <v>0</v>
      </c>
      <c r="U35" s="77">
        <f>MSSリスト!S35</f>
        <v>0</v>
      </c>
      <c r="V35" s="78">
        <f>MSSリスト!T35</f>
        <v>0</v>
      </c>
    </row>
    <row r="36" spans="4:22">
      <c r="D36" s="84" t="str">
        <f>IF(MSSリスト!B36&lt;&gt;"",HYPERLINK("https://nextoffice.next-hd.co.jp/pleasanter/items/"&amp;MSSリスト!B36&amp;"/edit","開く"),"")</f>
        <v/>
      </c>
      <c r="E36" s="76" t="str">
        <f>_xlfn.IFNA(VLOOKUP(MSSリスト!C36,ステータス一覧[],MATCH("ステータス",ステータス一覧[#Headers],0),FALSE),"")</f>
        <v/>
      </c>
      <c r="F36" s="75">
        <f>MSSリスト!D36</f>
        <v>0</v>
      </c>
      <c r="G36" s="76" t="str">
        <f>_xlfn.IFNA(VLOOKUP(MSSリスト!E36,シート分類一覧[],MATCH("種別",シート分類一覧[#Headers],0),FALSE),"")</f>
        <v/>
      </c>
      <c r="H36" s="74" t="str">
        <f>_xlfn.IFNA(VLOOKUP(MSSリスト!F36,営業所リスト[],MATCH("店舗名",営業所リスト[#Headers],0),FALSE),"")</f>
        <v/>
      </c>
      <c r="I36" s="74" t="str">
        <f>_xlfn.IFNA(VLOOKUP(MSSリスト!G36,社員リスト[],MATCH("名前",社員リスト[#Headers],0),FALSE),"")</f>
        <v/>
      </c>
      <c r="J36" s="74" t="str">
        <f>_xlfn.IFNA(VLOOKUP(MSSリスト!H36,社員リスト[],MATCH("名前",社員リスト[#Headers],0),FALSE),"")</f>
        <v/>
      </c>
      <c r="K36" s="74" t="str">
        <f>_xlfn.IFNA(VLOOKUP(MSSリスト!I36,社員リスト[],MATCH("名前",社員リスト[#Headers],0),FALSE),"")</f>
        <v/>
      </c>
      <c r="L36" s="74" t="str">
        <f>_xlfn.IFNA(VLOOKUP(MSSリスト!J36,社員リスト[],MATCH("名前",社員リスト[#Headers],0),FALSE),"")</f>
        <v/>
      </c>
      <c r="M36" s="526">
        <f>MSSリスト!K36</f>
        <v>0</v>
      </c>
      <c r="N36" s="76" t="str">
        <f>IF(MSSリスト!L36="","",_xlfn.IFNA(VLOOKUP(MSSリスト!L36,設計契約リスト[],MATCH("設計契約",設計契約リスト[#Headers],0),FALSE),""))</f>
        <v/>
      </c>
      <c r="O36" s="74" t="str">
        <f>_xlfn.IFNA(VLOOKUP(MSSリスト!M36,契約ブランドリスト[],MATCH("ブランド",契約ブランドリスト[#Headers],0),FALSE),"")</f>
        <v/>
      </c>
      <c r="P36" s="74">
        <f>MSSリスト!N36</f>
        <v>0</v>
      </c>
      <c r="Q36" s="77">
        <f>MSSリスト!O36</f>
        <v>0</v>
      </c>
      <c r="R36" s="77">
        <f>MSSリスト!P36</f>
        <v>0</v>
      </c>
      <c r="S36" s="77">
        <f>MSSリスト!Q36</f>
        <v>0</v>
      </c>
      <c r="T36" s="77">
        <f>MSSリスト!R36</f>
        <v>0</v>
      </c>
      <c r="U36" s="77">
        <f>MSSリスト!S36</f>
        <v>0</v>
      </c>
      <c r="V36" s="78">
        <f>MSSリスト!T36</f>
        <v>0</v>
      </c>
    </row>
    <row r="37" spans="4:22">
      <c r="D37" s="84" t="str">
        <f>IF(MSSリスト!B37&lt;&gt;"",HYPERLINK("https://nextoffice.next-hd.co.jp/pleasanter/items/"&amp;MSSリスト!B37&amp;"/edit","開く"),"")</f>
        <v/>
      </c>
      <c r="E37" s="76" t="str">
        <f>_xlfn.IFNA(VLOOKUP(MSSリスト!C37,ステータス一覧[],MATCH("ステータス",ステータス一覧[#Headers],0),FALSE),"")</f>
        <v/>
      </c>
      <c r="F37" s="75">
        <f>MSSリスト!D37</f>
        <v>0</v>
      </c>
      <c r="G37" s="76" t="str">
        <f>_xlfn.IFNA(VLOOKUP(MSSリスト!E37,シート分類一覧[],MATCH("種別",シート分類一覧[#Headers],0),FALSE),"")</f>
        <v/>
      </c>
      <c r="H37" s="74" t="str">
        <f>_xlfn.IFNA(VLOOKUP(MSSリスト!F37,営業所リスト[],MATCH("店舗名",営業所リスト[#Headers],0),FALSE),"")</f>
        <v/>
      </c>
      <c r="I37" s="74" t="str">
        <f>_xlfn.IFNA(VLOOKUP(MSSリスト!G37,社員リスト[],MATCH("名前",社員リスト[#Headers],0),FALSE),"")</f>
        <v/>
      </c>
      <c r="J37" s="74" t="str">
        <f>_xlfn.IFNA(VLOOKUP(MSSリスト!H37,社員リスト[],MATCH("名前",社員リスト[#Headers],0),FALSE),"")</f>
        <v/>
      </c>
      <c r="K37" s="74" t="str">
        <f>_xlfn.IFNA(VLOOKUP(MSSリスト!I37,社員リスト[],MATCH("名前",社員リスト[#Headers],0),FALSE),"")</f>
        <v/>
      </c>
      <c r="L37" s="74" t="str">
        <f>_xlfn.IFNA(VLOOKUP(MSSリスト!J37,社員リスト[],MATCH("名前",社員リスト[#Headers],0),FALSE),"")</f>
        <v/>
      </c>
      <c r="M37" s="526">
        <f>MSSリスト!K37</f>
        <v>0</v>
      </c>
      <c r="N37" s="76" t="str">
        <f>IF(MSSリスト!L37="","",_xlfn.IFNA(VLOOKUP(MSSリスト!L37,設計契約リスト[],MATCH("設計契約",設計契約リスト[#Headers],0),FALSE),""))</f>
        <v/>
      </c>
      <c r="O37" s="74" t="str">
        <f>_xlfn.IFNA(VLOOKUP(MSSリスト!M37,契約ブランドリスト[],MATCH("ブランド",契約ブランドリスト[#Headers],0),FALSE),"")</f>
        <v/>
      </c>
      <c r="P37" s="74">
        <f>MSSリスト!N37</f>
        <v>0</v>
      </c>
      <c r="Q37" s="77">
        <f>MSSリスト!O37</f>
        <v>0</v>
      </c>
      <c r="R37" s="77">
        <f>MSSリスト!P37</f>
        <v>0</v>
      </c>
      <c r="S37" s="77">
        <f>MSSリスト!Q37</f>
        <v>0</v>
      </c>
      <c r="T37" s="77">
        <f>MSSリスト!R37</f>
        <v>0</v>
      </c>
      <c r="U37" s="77">
        <f>MSSリスト!S37</f>
        <v>0</v>
      </c>
      <c r="V37" s="78">
        <f>MSSリスト!T37</f>
        <v>0</v>
      </c>
    </row>
    <row r="38" spans="4:22">
      <c r="D38" s="84" t="str">
        <f>IF(MSSリスト!B38&lt;&gt;"",HYPERLINK("https://nextoffice.next-hd.co.jp/pleasanter/items/"&amp;MSSリスト!B38&amp;"/edit","開く"),"")</f>
        <v/>
      </c>
      <c r="E38" s="76" t="str">
        <f>_xlfn.IFNA(VLOOKUP(MSSリスト!C38,ステータス一覧[],MATCH("ステータス",ステータス一覧[#Headers],0),FALSE),"")</f>
        <v/>
      </c>
      <c r="F38" s="75">
        <f>MSSリスト!D38</f>
        <v>0</v>
      </c>
      <c r="G38" s="76" t="str">
        <f>_xlfn.IFNA(VLOOKUP(MSSリスト!E38,シート分類一覧[],MATCH("種別",シート分類一覧[#Headers],0),FALSE),"")</f>
        <v/>
      </c>
      <c r="H38" s="74" t="str">
        <f>_xlfn.IFNA(VLOOKUP(MSSリスト!F38,営業所リスト[],MATCH("店舗名",営業所リスト[#Headers],0),FALSE),"")</f>
        <v/>
      </c>
      <c r="I38" s="74" t="str">
        <f>_xlfn.IFNA(VLOOKUP(MSSリスト!G38,社員リスト[],MATCH("名前",社員リスト[#Headers],0),FALSE),"")</f>
        <v/>
      </c>
      <c r="J38" s="74" t="str">
        <f>_xlfn.IFNA(VLOOKUP(MSSリスト!H38,社員リスト[],MATCH("名前",社員リスト[#Headers],0),FALSE),"")</f>
        <v/>
      </c>
      <c r="K38" s="74" t="str">
        <f>_xlfn.IFNA(VLOOKUP(MSSリスト!I38,社員リスト[],MATCH("名前",社員リスト[#Headers],0),FALSE),"")</f>
        <v/>
      </c>
      <c r="L38" s="74" t="str">
        <f>_xlfn.IFNA(VLOOKUP(MSSリスト!J38,社員リスト[],MATCH("名前",社員リスト[#Headers],0),FALSE),"")</f>
        <v/>
      </c>
      <c r="M38" s="526">
        <f>MSSリスト!K38</f>
        <v>0</v>
      </c>
      <c r="N38" s="76" t="str">
        <f>IF(MSSリスト!L38="","",_xlfn.IFNA(VLOOKUP(MSSリスト!L38,設計契約リスト[],MATCH("設計契約",設計契約リスト[#Headers],0),FALSE),""))</f>
        <v/>
      </c>
      <c r="O38" s="74" t="str">
        <f>_xlfn.IFNA(VLOOKUP(MSSリスト!M38,契約ブランドリスト[],MATCH("ブランド",契約ブランドリスト[#Headers],0),FALSE),"")</f>
        <v/>
      </c>
      <c r="P38" s="74">
        <f>MSSリスト!N38</f>
        <v>0</v>
      </c>
      <c r="Q38" s="77">
        <f>MSSリスト!O38</f>
        <v>0</v>
      </c>
      <c r="R38" s="77">
        <f>MSSリスト!P38</f>
        <v>0</v>
      </c>
      <c r="S38" s="77">
        <f>MSSリスト!Q38</f>
        <v>0</v>
      </c>
      <c r="T38" s="77">
        <f>MSSリスト!R38</f>
        <v>0</v>
      </c>
      <c r="U38" s="77">
        <f>MSSリスト!S38</f>
        <v>0</v>
      </c>
      <c r="V38" s="78">
        <f>MSSリスト!T38</f>
        <v>0</v>
      </c>
    </row>
    <row r="39" spans="4:22">
      <c r="D39" s="84" t="str">
        <f>IF(MSSリスト!B39&lt;&gt;"",HYPERLINK("https://nextoffice.next-hd.co.jp/pleasanter/items/"&amp;MSSリスト!B39&amp;"/edit","開く"),"")</f>
        <v/>
      </c>
      <c r="E39" s="76" t="str">
        <f>_xlfn.IFNA(VLOOKUP(MSSリスト!C39,ステータス一覧[],MATCH("ステータス",ステータス一覧[#Headers],0),FALSE),"")</f>
        <v/>
      </c>
      <c r="F39" s="75">
        <f>MSSリスト!D39</f>
        <v>0</v>
      </c>
      <c r="G39" s="76" t="str">
        <f>_xlfn.IFNA(VLOOKUP(MSSリスト!E39,シート分類一覧[],MATCH("種別",シート分類一覧[#Headers],0),FALSE),"")</f>
        <v/>
      </c>
      <c r="H39" s="74" t="str">
        <f>_xlfn.IFNA(VLOOKUP(MSSリスト!F39,営業所リスト[],MATCH("店舗名",営業所リスト[#Headers],0),FALSE),"")</f>
        <v/>
      </c>
      <c r="I39" s="74" t="str">
        <f>_xlfn.IFNA(VLOOKUP(MSSリスト!G39,社員リスト[],MATCH("名前",社員リスト[#Headers],0),FALSE),"")</f>
        <v/>
      </c>
      <c r="J39" s="74" t="str">
        <f>_xlfn.IFNA(VLOOKUP(MSSリスト!H39,社員リスト[],MATCH("名前",社員リスト[#Headers],0),FALSE),"")</f>
        <v/>
      </c>
      <c r="K39" s="74" t="str">
        <f>_xlfn.IFNA(VLOOKUP(MSSリスト!I39,社員リスト[],MATCH("名前",社員リスト[#Headers],0),FALSE),"")</f>
        <v/>
      </c>
      <c r="L39" s="74" t="str">
        <f>_xlfn.IFNA(VLOOKUP(MSSリスト!J39,社員リスト[],MATCH("名前",社員リスト[#Headers],0),FALSE),"")</f>
        <v/>
      </c>
      <c r="M39" s="526">
        <f>MSSリスト!K39</f>
        <v>0</v>
      </c>
      <c r="N39" s="76" t="str">
        <f>IF(MSSリスト!L39="","",_xlfn.IFNA(VLOOKUP(MSSリスト!L39,設計契約リスト[],MATCH("設計契約",設計契約リスト[#Headers],0),FALSE),""))</f>
        <v/>
      </c>
      <c r="O39" s="74" t="str">
        <f>_xlfn.IFNA(VLOOKUP(MSSリスト!M39,契約ブランドリスト[],MATCH("ブランド",契約ブランドリスト[#Headers],0),FALSE),"")</f>
        <v/>
      </c>
      <c r="P39" s="74">
        <f>MSSリスト!N39</f>
        <v>0</v>
      </c>
      <c r="Q39" s="77">
        <f>MSSリスト!O39</f>
        <v>0</v>
      </c>
      <c r="R39" s="77">
        <f>MSSリスト!P39</f>
        <v>0</v>
      </c>
      <c r="S39" s="77">
        <f>MSSリスト!Q39</f>
        <v>0</v>
      </c>
      <c r="T39" s="77">
        <f>MSSリスト!R39</f>
        <v>0</v>
      </c>
      <c r="U39" s="77">
        <f>MSSリスト!S39</f>
        <v>0</v>
      </c>
      <c r="V39" s="78">
        <f>MSSリスト!T39</f>
        <v>0</v>
      </c>
    </row>
    <row r="40" spans="4:22">
      <c r="D40" s="84" t="str">
        <f>IF(MSSリスト!B40&lt;&gt;"",HYPERLINK("https://nextoffice.next-hd.co.jp/pleasanter/items/"&amp;MSSリスト!B40&amp;"/edit","開く"),"")</f>
        <v/>
      </c>
      <c r="E40" s="76" t="str">
        <f>_xlfn.IFNA(VLOOKUP(MSSリスト!C40,ステータス一覧[],MATCH("ステータス",ステータス一覧[#Headers],0),FALSE),"")</f>
        <v/>
      </c>
      <c r="F40" s="75">
        <f>MSSリスト!D40</f>
        <v>0</v>
      </c>
      <c r="G40" s="76" t="str">
        <f>_xlfn.IFNA(VLOOKUP(MSSリスト!E40,シート分類一覧[],MATCH("種別",シート分類一覧[#Headers],0),FALSE),"")</f>
        <v/>
      </c>
      <c r="H40" s="74" t="str">
        <f>_xlfn.IFNA(VLOOKUP(MSSリスト!F40,営業所リスト[],MATCH("店舗名",営業所リスト[#Headers],0),FALSE),"")</f>
        <v/>
      </c>
      <c r="I40" s="74" t="str">
        <f>_xlfn.IFNA(VLOOKUP(MSSリスト!G40,社員リスト[],MATCH("名前",社員リスト[#Headers],0),FALSE),"")</f>
        <v/>
      </c>
      <c r="J40" s="74" t="str">
        <f>_xlfn.IFNA(VLOOKUP(MSSリスト!H40,社員リスト[],MATCH("名前",社員リスト[#Headers],0),FALSE),"")</f>
        <v/>
      </c>
      <c r="K40" s="74" t="str">
        <f>_xlfn.IFNA(VLOOKUP(MSSリスト!I40,社員リスト[],MATCH("名前",社員リスト[#Headers],0),FALSE),"")</f>
        <v/>
      </c>
      <c r="L40" s="74" t="str">
        <f>_xlfn.IFNA(VLOOKUP(MSSリスト!J40,社員リスト[],MATCH("名前",社員リスト[#Headers],0),FALSE),"")</f>
        <v/>
      </c>
      <c r="M40" s="526">
        <f>MSSリスト!K40</f>
        <v>0</v>
      </c>
      <c r="N40" s="76" t="str">
        <f>IF(MSSリスト!L40="","",_xlfn.IFNA(VLOOKUP(MSSリスト!L40,設計契約リスト[],MATCH("設計契約",設計契約リスト[#Headers],0),FALSE),""))</f>
        <v/>
      </c>
      <c r="O40" s="74" t="str">
        <f>_xlfn.IFNA(VLOOKUP(MSSリスト!M40,契約ブランドリスト[],MATCH("ブランド",契約ブランドリスト[#Headers],0),FALSE),"")</f>
        <v/>
      </c>
      <c r="P40" s="74">
        <f>MSSリスト!N40</f>
        <v>0</v>
      </c>
      <c r="Q40" s="77">
        <f>MSSリスト!O40</f>
        <v>0</v>
      </c>
      <c r="R40" s="77">
        <f>MSSリスト!P40</f>
        <v>0</v>
      </c>
      <c r="S40" s="77">
        <f>MSSリスト!Q40</f>
        <v>0</v>
      </c>
      <c r="T40" s="77">
        <f>MSSリスト!R40</f>
        <v>0</v>
      </c>
      <c r="U40" s="77">
        <f>MSSリスト!S40</f>
        <v>0</v>
      </c>
      <c r="V40" s="78">
        <f>MSSリスト!T40</f>
        <v>0</v>
      </c>
    </row>
    <row r="41" spans="4:22">
      <c r="D41" s="84" t="str">
        <f>IF(MSSリスト!B41&lt;&gt;"",HYPERLINK("https://nextoffice.next-hd.co.jp/pleasanter/items/"&amp;MSSリスト!B41&amp;"/edit","開く"),"")</f>
        <v/>
      </c>
      <c r="E41" s="76" t="str">
        <f>_xlfn.IFNA(VLOOKUP(MSSリスト!C41,ステータス一覧[],MATCH("ステータス",ステータス一覧[#Headers],0),FALSE),"")</f>
        <v/>
      </c>
      <c r="F41" s="75">
        <f>MSSリスト!D41</f>
        <v>0</v>
      </c>
      <c r="G41" s="76" t="str">
        <f>_xlfn.IFNA(VLOOKUP(MSSリスト!E41,シート分類一覧[],MATCH("種別",シート分類一覧[#Headers],0),FALSE),"")</f>
        <v/>
      </c>
      <c r="H41" s="74" t="str">
        <f>_xlfn.IFNA(VLOOKUP(MSSリスト!F41,営業所リスト[],MATCH("店舗名",営業所リスト[#Headers],0),FALSE),"")</f>
        <v/>
      </c>
      <c r="I41" s="74" t="str">
        <f>_xlfn.IFNA(VLOOKUP(MSSリスト!G41,社員リスト[],MATCH("名前",社員リスト[#Headers],0),FALSE),"")</f>
        <v/>
      </c>
      <c r="J41" s="74" t="str">
        <f>_xlfn.IFNA(VLOOKUP(MSSリスト!H41,社員リスト[],MATCH("名前",社員リスト[#Headers],0),FALSE),"")</f>
        <v/>
      </c>
      <c r="K41" s="74" t="str">
        <f>_xlfn.IFNA(VLOOKUP(MSSリスト!I41,社員リスト[],MATCH("名前",社員リスト[#Headers],0),FALSE),"")</f>
        <v/>
      </c>
      <c r="L41" s="74" t="str">
        <f>_xlfn.IFNA(VLOOKUP(MSSリスト!J41,社員リスト[],MATCH("名前",社員リスト[#Headers],0),FALSE),"")</f>
        <v/>
      </c>
      <c r="M41" s="526">
        <f>MSSリスト!K41</f>
        <v>0</v>
      </c>
      <c r="N41" s="76" t="str">
        <f>IF(MSSリスト!L41="","",_xlfn.IFNA(VLOOKUP(MSSリスト!L41,設計契約リスト[],MATCH("設計契約",設計契約リスト[#Headers],0),FALSE),""))</f>
        <v/>
      </c>
      <c r="O41" s="74" t="str">
        <f>_xlfn.IFNA(VLOOKUP(MSSリスト!M41,契約ブランドリスト[],MATCH("ブランド",契約ブランドリスト[#Headers],0),FALSE),"")</f>
        <v/>
      </c>
      <c r="P41" s="74">
        <f>MSSリスト!N41</f>
        <v>0</v>
      </c>
      <c r="Q41" s="77">
        <f>MSSリスト!O41</f>
        <v>0</v>
      </c>
      <c r="R41" s="77">
        <f>MSSリスト!P41</f>
        <v>0</v>
      </c>
      <c r="S41" s="77">
        <f>MSSリスト!Q41</f>
        <v>0</v>
      </c>
      <c r="T41" s="77">
        <f>MSSリスト!R41</f>
        <v>0</v>
      </c>
      <c r="U41" s="77">
        <f>MSSリスト!S41</f>
        <v>0</v>
      </c>
      <c r="V41" s="78">
        <f>MSSリスト!T41</f>
        <v>0</v>
      </c>
    </row>
    <row r="42" spans="4:22">
      <c r="D42" s="84" t="str">
        <f>IF(MSSリスト!B42&lt;&gt;"",HYPERLINK("https://nextoffice.next-hd.co.jp/pleasanter/items/"&amp;MSSリスト!B42&amp;"/edit","開く"),"")</f>
        <v/>
      </c>
      <c r="E42" s="76" t="str">
        <f>_xlfn.IFNA(VLOOKUP(MSSリスト!C42,ステータス一覧[],MATCH("ステータス",ステータス一覧[#Headers],0),FALSE),"")</f>
        <v/>
      </c>
      <c r="F42" s="75">
        <f>MSSリスト!D42</f>
        <v>0</v>
      </c>
      <c r="G42" s="76" t="str">
        <f>_xlfn.IFNA(VLOOKUP(MSSリスト!E42,シート分類一覧[],MATCH("種別",シート分類一覧[#Headers],0),FALSE),"")</f>
        <v/>
      </c>
      <c r="H42" s="74" t="str">
        <f>_xlfn.IFNA(VLOOKUP(MSSリスト!F42,営業所リスト[],MATCH("店舗名",営業所リスト[#Headers],0),FALSE),"")</f>
        <v/>
      </c>
      <c r="I42" s="74" t="str">
        <f>_xlfn.IFNA(VLOOKUP(MSSリスト!G42,社員リスト[],MATCH("名前",社員リスト[#Headers],0),FALSE),"")</f>
        <v/>
      </c>
      <c r="J42" s="74" t="str">
        <f>_xlfn.IFNA(VLOOKUP(MSSリスト!H42,社員リスト[],MATCH("名前",社員リスト[#Headers],0),FALSE),"")</f>
        <v/>
      </c>
      <c r="K42" s="74" t="str">
        <f>_xlfn.IFNA(VLOOKUP(MSSリスト!I42,社員リスト[],MATCH("名前",社員リスト[#Headers],0),FALSE),"")</f>
        <v/>
      </c>
      <c r="L42" s="74" t="str">
        <f>_xlfn.IFNA(VLOOKUP(MSSリスト!J42,社員リスト[],MATCH("名前",社員リスト[#Headers],0),FALSE),"")</f>
        <v/>
      </c>
      <c r="M42" s="526">
        <f>MSSリスト!K42</f>
        <v>0</v>
      </c>
      <c r="N42" s="76" t="str">
        <f>IF(MSSリスト!L42="","",_xlfn.IFNA(VLOOKUP(MSSリスト!L42,設計契約リスト[],MATCH("設計契約",設計契約リスト[#Headers],0),FALSE),""))</f>
        <v/>
      </c>
      <c r="O42" s="74" t="str">
        <f>_xlfn.IFNA(VLOOKUP(MSSリスト!M42,契約ブランドリスト[],MATCH("ブランド",契約ブランドリスト[#Headers],0),FALSE),"")</f>
        <v/>
      </c>
      <c r="P42" s="74">
        <f>MSSリスト!N42</f>
        <v>0</v>
      </c>
      <c r="Q42" s="77">
        <f>MSSリスト!O42</f>
        <v>0</v>
      </c>
      <c r="R42" s="77">
        <f>MSSリスト!P42</f>
        <v>0</v>
      </c>
      <c r="S42" s="77">
        <f>MSSリスト!Q42</f>
        <v>0</v>
      </c>
      <c r="T42" s="77">
        <f>MSSリスト!R42</f>
        <v>0</v>
      </c>
      <c r="U42" s="77">
        <f>MSSリスト!S42</f>
        <v>0</v>
      </c>
      <c r="V42" s="78">
        <f>MSSリスト!T42</f>
        <v>0</v>
      </c>
    </row>
    <row r="43" spans="4:22">
      <c r="D43" s="84" t="str">
        <f>IF(MSSリスト!B43&lt;&gt;"",HYPERLINK("https://nextoffice.next-hd.co.jp/pleasanter/items/"&amp;MSSリスト!B43&amp;"/edit","開く"),"")</f>
        <v/>
      </c>
      <c r="E43" s="76" t="str">
        <f>_xlfn.IFNA(VLOOKUP(MSSリスト!C43,ステータス一覧[],MATCH("ステータス",ステータス一覧[#Headers],0),FALSE),"")</f>
        <v/>
      </c>
      <c r="F43" s="75">
        <f>MSSリスト!D43</f>
        <v>0</v>
      </c>
      <c r="G43" s="76" t="str">
        <f>_xlfn.IFNA(VLOOKUP(MSSリスト!E43,シート分類一覧[],MATCH("種別",シート分類一覧[#Headers],0),FALSE),"")</f>
        <v/>
      </c>
      <c r="H43" s="74" t="str">
        <f>_xlfn.IFNA(VLOOKUP(MSSリスト!F43,営業所リスト[],MATCH("店舗名",営業所リスト[#Headers],0),FALSE),"")</f>
        <v/>
      </c>
      <c r="I43" s="74" t="str">
        <f>_xlfn.IFNA(VLOOKUP(MSSリスト!G43,社員リスト[],MATCH("名前",社員リスト[#Headers],0),FALSE),"")</f>
        <v/>
      </c>
      <c r="J43" s="74" t="str">
        <f>_xlfn.IFNA(VLOOKUP(MSSリスト!H43,社員リスト[],MATCH("名前",社員リスト[#Headers],0),FALSE),"")</f>
        <v/>
      </c>
      <c r="K43" s="74" t="str">
        <f>_xlfn.IFNA(VLOOKUP(MSSリスト!I43,社員リスト[],MATCH("名前",社員リスト[#Headers],0),FALSE),"")</f>
        <v/>
      </c>
      <c r="L43" s="74" t="str">
        <f>_xlfn.IFNA(VLOOKUP(MSSリスト!J43,社員リスト[],MATCH("名前",社員リスト[#Headers],0),FALSE),"")</f>
        <v/>
      </c>
      <c r="M43" s="526">
        <f>MSSリスト!K43</f>
        <v>0</v>
      </c>
      <c r="N43" s="76" t="str">
        <f>IF(MSSリスト!L43="","",_xlfn.IFNA(VLOOKUP(MSSリスト!L43,設計契約リスト[],MATCH("設計契約",設計契約リスト[#Headers],0),FALSE),""))</f>
        <v/>
      </c>
      <c r="O43" s="74" t="str">
        <f>_xlfn.IFNA(VLOOKUP(MSSリスト!M43,契約ブランドリスト[],MATCH("ブランド",契約ブランドリスト[#Headers],0),FALSE),"")</f>
        <v/>
      </c>
      <c r="P43" s="74">
        <f>MSSリスト!N43</f>
        <v>0</v>
      </c>
      <c r="Q43" s="77">
        <f>MSSリスト!O43</f>
        <v>0</v>
      </c>
      <c r="R43" s="77">
        <f>MSSリスト!P43</f>
        <v>0</v>
      </c>
      <c r="S43" s="77">
        <f>MSSリスト!Q43</f>
        <v>0</v>
      </c>
      <c r="T43" s="77">
        <f>MSSリスト!R43</f>
        <v>0</v>
      </c>
      <c r="U43" s="77">
        <f>MSSリスト!S43</f>
        <v>0</v>
      </c>
      <c r="V43" s="78">
        <f>MSSリスト!T43</f>
        <v>0</v>
      </c>
    </row>
    <row r="44" spans="4:22">
      <c r="D44" s="84" t="str">
        <f>IF(MSSリスト!B44&lt;&gt;"",HYPERLINK("https://nextoffice.next-hd.co.jp/pleasanter/items/"&amp;MSSリスト!B44&amp;"/edit","開く"),"")</f>
        <v/>
      </c>
      <c r="E44" s="76" t="str">
        <f>_xlfn.IFNA(VLOOKUP(MSSリスト!C44,ステータス一覧[],MATCH("ステータス",ステータス一覧[#Headers],0),FALSE),"")</f>
        <v/>
      </c>
      <c r="F44" s="75">
        <f>MSSリスト!D44</f>
        <v>0</v>
      </c>
      <c r="G44" s="76" t="str">
        <f>_xlfn.IFNA(VLOOKUP(MSSリスト!E44,シート分類一覧[],MATCH("種別",シート分類一覧[#Headers],0),FALSE),"")</f>
        <v/>
      </c>
      <c r="H44" s="74" t="str">
        <f>_xlfn.IFNA(VLOOKUP(MSSリスト!F44,営業所リスト[],MATCH("店舗名",営業所リスト[#Headers],0),FALSE),"")</f>
        <v/>
      </c>
      <c r="I44" s="74" t="str">
        <f>_xlfn.IFNA(VLOOKUP(MSSリスト!G44,社員リスト[],MATCH("名前",社員リスト[#Headers],0),FALSE),"")</f>
        <v/>
      </c>
      <c r="J44" s="74" t="str">
        <f>_xlfn.IFNA(VLOOKUP(MSSリスト!H44,社員リスト[],MATCH("名前",社員リスト[#Headers],0),FALSE),"")</f>
        <v/>
      </c>
      <c r="K44" s="74" t="str">
        <f>_xlfn.IFNA(VLOOKUP(MSSリスト!I44,社員リスト[],MATCH("名前",社員リスト[#Headers],0),FALSE),"")</f>
        <v/>
      </c>
      <c r="L44" s="74" t="str">
        <f>_xlfn.IFNA(VLOOKUP(MSSリスト!J44,社員リスト[],MATCH("名前",社員リスト[#Headers],0),FALSE),"")</f>
        <v/>
      </c>
      <c r="M44" s="526">
        <f>MSSリスト!K44</f>
        <v>0</v>
      </c>
      <c r="N44" s="76" t="str">
        <f>IF(MSSリスト!L44="","",_xlfn.IFNA(VLOOKUP(MSSリスト!L44,設計契約リスト[],MATCH("設計契約",設計契約リスト[#Headers],0),FALSE),""))</f>
        <v/>
      </c>
      <c r="O44" s="74" t="str">
        <f>_xlfn.IFNA(VLOOKUP(MSSリスト!M44,契約ブランドリスト[],MATCH("ブランド",契約ブランドリスト[#Headers],0),FALSE),"")</f>
        <v/>
      </c>
      <c r="P44" s="74">
        <f>MSSリスト!N44</f>
        <v>0</v>
      </c>
      <c r="Q44" s="77">
        <f>MSSリスト!O44</f>
        <v>0</v>
      </c>
      <c r="R44" s="77">
        <f>MSSリスト!P44</f>
        <v>0</v>
      </c>
      <c r="S44" s="77">
        <f>MSSリスト!Q44</f>
        <v>0</v>
      </c>
      <c r="T44" s="77">
        <f>MSSリスト!R44</f>
        <v>0</v>
      </c>
      <c r="U44" s="77">
        <f>MSSリスト!S44</f>
        <v>0</v>
      </c>
      <c r="V44" s="78">
        <f>MSSリスト!T44</f>
        <v>0</v>
      </c>
    </row>
    <row r="45" spans="4:22">
      <c r="D45" s="84" t="str">
        <f>IF(MSSリスト!B45&lt;&gt;"",HYPERLINK("https://nextoffice.next-hd.co.jp/pleasanter/items/"&amp;MSSリスト!B45&amp;"/edit","開く"),"")</f>
        <v/>
      </c>
      <c r="E45" s="76" t="str">
        <f>_xlfn.IFNA(VLOOKUP(MSSリスト!C45,ステータス一覧[],MATCH("ステータス",ステータス一覧[#Headers],0),FALSE),"")</f>
        <v/>
      </c>
      <c r="F45" s="75">
        <f>MSSリスト!D45</f>
        <v>0</v>
      </c>
      <c r="G45" s="76" t="str">
        <f>_xlfn.IFNA(VLOOKUP(MSSリスト!E45,シート分類一覧[],MATCH("種別",シート分類一覧[#Headers],0),FALSE),"")</f>
        <v/>
      </c>
      <c r="H45" s="74" t="str">
        <f>_xlfn.IFNA(VLOOKUP(MSSリスト!F45,営業所リスト[],MATCH("店舗名",営業所リスト[#Headers],0),FALSE),"")</f>
        <v/>
      </c>
      <c r="I45" s="74" t="str">
        <f>_xlfn.IFNA(VLOOKUP(MSSリスト!G45,社員リスト[],MATCH("名前",社員リスト[#Headers],0),FALSE),"")</f>
        <v/>
      </c>
      <c r="J45" s="74" t="str">
        <f>_xlfn.IFNA(VLOOKUP(MSSリスト!H45,社員リスト[],MATCH("名前",社員リスト[#Headers],0),FALSE),"")</f>
        <v/>
      </c>
      <c r="K45" s="74" t="str">
        <f>_xlfn.IFNA(VLOOKUP(MSSリスト!I45,社員リスト[],MATCH("名前",社員リスト[#Headers],0),FALSE),"")</f>
        <v/>
      </c>
      <c r="L45" s="74" t="str">
        <f>_xlfn.IFNA(VLOOKUP(MSSリスト!J45,社員リスト[],MATCH("名前",社員リスト[#Headers],0),FALSE),"")</f>
        <v/>
      </c>
      <c r="M45" s="526">
        <f>MSSリスト!K45</f>
        <v>0</v>
      </c>
      <c r="N45" s="76" t="str">
        <f>IF(MSSリスト!L45="","",_xlfn.IFNA(VLOOKUP(MSSリスト!L45,設計契約リスト[],MATCH("設計契約",設計契約リスト[#Headers],0),FALSE),""))</f>
        <v/>
      </c>
      <c r="O45" s="74" t="str">
        <f>_xlfn.IFNA(VLOOKUP(MSSリスト!M45,契約ブランドリスト[],MATCH("ブランド",契約ブランドリスト[#Headers],0),FALSE),"")</f>
        <v/>
      </c>
      <c r="P45" s="74">
        <f>MSSリスト!N45</f>
        <v>0</v>
      </c>
      <c r="Q45" s="77">
        <f>MSSリスト!O45</f>
        <v>0</v>
      </c>
      <c r="R45" s="77">
        <f>MSSリスト!P45</f>
        <v>0</v>
      </c>
      <c r="S45" s="77">
        <f>MSSリスト!Q45</f>
        <v>0</v>
      </c>
      <c r="T45" s="77">
        <f>MSSリスト!R45</f>
        <v>0</v>
      </c>
      <c r="U45" s="77">
        <f>MSSリスト!S45</f>
        <v>0</v>
      </c>
      <c r="V45" s="78">
        <f>MSSリスト!T45</f>
        <v>0</v>
      </c>
    </row>
    <row r="46" spans="4:22">
      <c r="D46" s="84" t="str">
        <f>IF(MSSリスト!B46&lt;&gt;"",HYPERLINK("https://nextoffice.next-hd.co.jp/pleasanter/items/"&amp;MSSリスト!B46&amp;"/edit","開く"),"")</f>
        <v/>
      </c>
      <c r="E46" s="76" t="str">
        <f>_xlfn.IFNA(VLOOKUP(MSSリスト!C46,ステータス一覧[],MATCH("ステータス",ステータス一覧[#Headers],0),FALSE),"")</f>
        <v/>
      </c>
      <c r="F46" s="75">
        <f>MSSリスト!D46</f>
        <v>0</v>
      </c>
      <c r="G46" s="76" t="str">
        <f>_xlfn.IFNA(VLOOKUP(MSSリスト!E46,シート分類一覧[],MATCH("種別",シート分類一覧[#Headers],0),FALSE),"")</f>
        <v/>
      </c>
      <c r="H46" s="74" t="str">
        <f>_xlfn.IFNA(VLOOKUP(MSSリスト!F46,営業所リスト[],MATCH("店舗名",営業所リスト[#Headers],0),FALSE),"")</f>
        <v/>
      </c>
      <c r="I46" s="74" t="str">
        <f>_xlfn.IFNA(VLOOKUP(MSSリスト!G46,社員リスト[],MATCH("名前",社員リスト[#Headers],0),FALSE),"")</f>
        <v/>
      </c>
      <c r="J46" s="74" t="str">
        <f>_xlfn.IFNA(VLOOKUP(MSSリスト!H46,社員リスト[],MATCH("名前",社員リスト[#Headers],0),FALSE),"")</f>
        <v/>
      </c>
      <c r="K46" s="74" t="str">
        <f>_xlfn.IFNA(VLOOKUP(MSSリスト!I46,社員リスト[],MATCH("名前",社員リスト[#Headers],0),FALSE),"")</f>
        <v/>
      </c>
      <c r="L46" s="74" t="str">
        <f>_xlfn.IFNA(VLOOKUP(MSSリスト!J46,社員リスト[],MATCH("名前",社員リスト[#Headers],0),FALSE),"")</f>
        <v/>
      </c>
      <c r="M46" s="526">
        <f>MSSリスト!K46</f>
        <v>0</v>
      </c>
      <c r="N46" s="76" t="str">
        <f>IF(MSSリスト!L46="","",_xlfn.IFNA(VLOOKUP(MSSリスト!L46,設計契約リスト[],MATCH("設計契約",設計契約リスト[#Headers],0),FALSE),""))</f>
        <v/>
      </c>
      <c r="O46" s="74" t="str">
        <f>_xlfn.IFNA(VLOOKUP(MSSリスト!M46,契約ブランドリスト[],MATCH("ブランド",契約ブランドリスト[#Headers],0),FALSE),"")</f>
        <v/>
      </c>
      <c r="P46" s="74">
        <f>MSSリスト!N46</f>
        <v>0</v>
      </c>
      <c r="Q46" s="77">
        <f>MSSリスト!O46</f>
        <v>0</v>
      </c>
      <c r="R46" s="77">
        <f>MSSリスト!P46</f>
        <v>0</v>
      </c>
      <c r="S46" s="77">
        <f>MSSリスト!Q46</f>
        <v>0</v>
      </c>
      <c r="T46" s="77">
        <f>MSSリスト!R46</f>
        <v>0</v>
      </c>
      <c r="U46" s="77">
        <f>MSSリスト!S46</f>
        <v>0</v>
      </c>
      <c r="V46" s="78">
        <f>MSSリスト!T46</f>
        <v>0</v>
      </c>
    </row>
    <row r="47" spans="4:22">
      <c r="D47" s="84" t="str">
        <f>IF(MSSリスト!B47&lt;&gt;"",HYPERLINK("https://nextoffice.next-hd.co.jp/pleasanter/items/"&amp;MSSリスト!B47&amp;"/edit","開く"),"")</f>
        <v/>
      </c>
      <c r="E47" s="76" t="str">
        <f>_xlfn.IFNA(VLOOKUP(MSSリスト!C47,ステータス一覧[],MATCH("ステータス",ステータス一覧[#Headers],0),FALSE),"")</f>
        <v/>
      </c>
      <c r="F47" s="75">
        <f>MSSリスト!D47</f>
        <v>0</v>
      </c>
      <c r="G47" s="76" t="str">
        <f>_xlfn.IFNA(VLOOKUP(MSSリスト!E47,シート分類一覧[],MATCH("種別",シート分類一覧[#Headers],0),FALSE),"")</f>
        <v/>
      </c>
      <c r="H47" s="74" t="str">
        <f>_xlfn.IFNA(VLOOKUP(MSSリスト!F47,営業所リスト[],MATCH("店舗名",営業所リスト[#Headers],0),FALSE),"")</f>
        <v/>
      </c>
      <c r="I47" s="74" t="str">
        <f>_xlfn.IFNA(VLOOKUP(MSSリスト!G47,社員リスト[],MATCH("名前",社員リスト[#Headers],0),FALSE),"")</f>
        <v/>
      </c>
      <c r="J47" s="74" t="str">
        <f>_xlfn.IFNA(VLOOKUP(MSSリスト!H47,社員リスト[],MATCH("名前",社員リスト[#Headers],0),FALSE),"")</f>
        <v/>
      </c>
      <c r="K47" s="74" t="str">
        <f>_xlfn.IFNA(VLOOKUP(MSSリスト!I47,社員リスト[],MATCH("名前",社員リスト[#Headers],0),FALSE),"")</f>
        <v/>
      </c>
      <c r="L47" s="74" t="str">
        <f>_xlfn.IFNA(VLOOKUP(MSSリスト!J47,社員リスト[],MATCH("名前",社員リスト[#Headers],0),FALSE),"")</f>
        <v/>
      </c>
      <c r="M47" s="526">
        <f>MSSリスト!K47</f>
        <v>0</v>
      </c>
      <c r="N47" s="76" t="str">
        <f>IF(MSSリスト!L47="","",_xlfn.IFNA(VLOOKUP(MSSリスト!L47,設計契約リスト[],MATCH("設計契約",設計契約リスト[#Headers],0),FALSE),""))</f>
        <v/>
      </c>
      <c r="O47" s="74" t="str">
        <f>_xlfn.IFNA(VLOOKUP(MSSリスト!M47,契約ブランドリスト[],MATCH("ブランド",契約ブランドリスト[#Headers],0),FALSE),"")</f>
        <v/>
      </c>
      <c r="P47" s="74">
        <f>MSSリスト!N47</f>
        <v>0</v>
      </c>
      <c r="Q47" s="77">
        <f>MSSリスト!O47</f>
        <v>0</v>
      </c>
      <c r="R47" s="77">
        <f>MSSリスト!P47</f>
        <v>0</v>
      </c>
      <c r="S47" s="77">
        <f>MSSリスト!Q47</f>
        <v>0</v>
      </c>
      <c r="T47" s="77">
        <f>MSSリスト!R47</f>
        <v>0</v>
      </c>
      <c r="U47" s="77">
        <f>MSSリスト!S47</f>
        <v>0</v>
      </c>
      <c r="V47" s="78">
        <f>MSSリスト!T47</f>
        <v>0</v>
      </c>
    </row>
    <row r="48" spans="4:22">
      <c r="D48" s="84" t="str">
        <f>IF(MSSリスト!B48&lt;&gt;"",HYPERLINK("https://nextoffice.next-hd.co.jp/pleasanter/items/"&amp;MSSリスト!B48&amp;"/edit","開く"),"")</f>
        <v/>
      </c>
      <c r="E48" s="76" t="str">
        <f>_xlfn.IFNA(VLOOKUP(MSSリスト!C48,ステータス一覧[],MATCH("ステータス",ステータス一覧[#Headers],0),FALSE),"")</f>
        <v/>
      </c>
      <c r="F48" s="75">
        <f>MSSリスト!D48</f>
        <v>0</v>
      </c>
      <c r="G48" s="76" t="str">
        <f>_xlfn.IFNA(VLOOKUP(MSSリスト!E48,シート分類一覧[],MATCH("種別",シート分類一覧[#Headers],0),FALSE),"")</f>
        <v/>
      </c>
      <c r="H48" s="74" t="str">
        <f>_xlfn.IFNA(VLOOKUP(MSSリスト!F48,営業所リスト[],MATCH("店舗名",営業所リスト[#Headers],0),FALSE),"")</f>
        <v/>
      </c>
      <c r="I48" s="74" t="str">
        <f>_xlfn.IFNA(VLOOKUP(MSSリスト!G48,社員リスト[],MATCH("名前",社員リスト[#Headers],0),FALSE),"")</f>
        <v/>
      </c>
      <c r="J48" s="74" t="str">
        <f>_xlfn.IFNA(VLOOKUP(MSSリスト!H48,社員リスト[],MATCH("名前",社員リスト[#Headers],0),FALSE),"")</f>
        <v/>
      </c>
      <c r="K48" s="74" t="str">
        <f>_xlfn.IFNA(VLOOKUP(MSSリスト!I48,社員リスト[],MATCH("名前",社員リスト[#Headers],0),FALSE),"")</f>
        <v/>
      </c>
      <c r="L48" s="74" t="str">
        <f>_xlfn.IFNA(VLOOKUP(MSSリスト!J48,社員リスト[],MATCH("名前",社員リスト[#Headers],0),FALSE),"")</f>
        <v/>
      </c>
      <c r="M48" s="526">
        <f>MSSリスト!K48</f>
        <v>0</v>
      </c>
      <c r="N48" s="76" t="str">
        <f>IF(MSSリスト!L48="","",_xlfn.IFNA(VLOOKUP(MSSリスト!L48,設計契約リスト[],MATCH("設計契約",設計契約リスト[#Headers],0),FALSE),""))</f>
        <v/>
      </c>
      <c r="O48" s="74" t="str">
        <f>_xlfn.IFNA(VLOOKUP(MSSリスト!M48,契約ブランドリスト[],MATCH("ブランド",契約ブランドリスト[#Headers],0),FALSE),"")</f>
        <v/>
      </c>
      <c r="P48" s="74">
        <f>MSSリスト!N48</f>
        <v>0</v>
      </c>
      <c r="Q48" s="77">
        <f>MSSリスト!O48</f>
        <v>0</v>
      </c>
      <c r="R48" s="77">
        <f>MSSリスト!P48</f>
        <v>0</v>
      </c>
      <c r="S48" s="77">
        <f>MSSリスト!Q48</f>
        <v>0</v>
      </c>
      <c r="T48" s="77">
        <f>MSSリスト!R48</f>
        <v>0</v>
      </c>
      <c r="U48" s="77">
        <f>MSSリスト!S48</f>
        <v>0</v>
      </c>
      <c r="V48" s="78">
        <f>MSSリスト!T48</f>
        <v>0</v>
      </c>
    </row>
    <row r="49" spans="4:22">
      <c r="D49" s="84" t="str">
        <f>IF(MSSリスト!B49&lt;&gt;"",HYPERLINK("https://nextoffice.next-hd.co.jp/pleasanter/items/"&amp;MSSリスト!B49&amp;"/edit","開く"),"")</f>
        <v/>
      </c>
      <c r="E49" s="76" t="str">
        <f>_xlfn.IFNA(VLOOKUP(MSSリスト!C49,ステータス一覧[],MATCH("ステータス",ステータス一覧[#Headers],0),FALSE),"")</f>
        <v/>
      </c>
      <c r="F49" s="75">
        <f>MSSリスト!D49</f>
        <v>0</v>
      </c>
      <c r="G49" s="76" t="str">
        <f>_xlfn.IFNA(VLOOKUP(MSSリスト!E49,シート分類一覧[],MATCH("種別",シート分類一覧[#Headers],0),FALSE),"")</f>
        <v/>
      </c>
      <c r="H49" s="74" t="str">
        <f>_xlfn.IFNA(VLOOKUP(MSSリスト!F49,営業所リスト[],MATCH("店舗名",営業所リスト[#Headers],0),FALSE),"")</f>
        <v/>
      </c>
      <c r="I49" s="74" t="str">
        <f>_xlfn.IFNA(VLOOKUP(MSSリスト!G49,社員リスト[],MATCH("名前",社員リスト[#Headers],0),FALSE),"")</f>
        <v/>
      </c>
      <c r="J49" s="74" t="str">
        <f>_xlfn.IFNA(VLOOKUP(MSSリスト!H49,社員リスト[],MATCH("名前",社員リスト[#Headers],0),FALSE),"")</f>
        <v/>
      </c>
      <c r="K49" s="74" t="str">
        <f>_xlfn.IFNA(VLOOKUP(MSSリスト!I49,社員リスト[],MATCH("名前",社員リスト[#Headers],0),FALSE),"")</f>
        <v/>
      </c>
      <c r="L49" s="74" t="str">
        <f>_xlfn.IFNA(VLOOKUP(MSSリスト!J49,社員リスト[],MATCH("名前",社員リスト[#Headers],0),FALSE),"")</f>
        <v/>
      </c>
      <c r="M49" s="526">
        <f>MSSリスト!K49</f>
        <v>0</v>
      </c>
      <c r="N49" s="76" t="str">
        <f>IF(MSSリスト!L49="","",_xlfn.IFNA(VLOOKUP(MSSリスト!L49,設計契約リスト[],MATCH("設計契約",設計契約リスト[#Headers],0),FALSE),""))</f>
        <v/>
      </c>
      <c r="O49" s="74" t="str">
        <f>_xlfn.IFNA(VLOOKUP(MSSリスト!M49,契約ブランドリスト[],MATCH("ブランド",契約ブランドリスト[#Headers],0),FALSE),"")</f>
        <v/>
      </c>
      <c r="P49" s="74">
        <f>MSSリスト!N49</f>
        <v>0</v>
      </c>
      <c r="Q49" s="77">
        <f>MSSリスト!O49</f>
        <v>0</v>
      </c>
      <c r="R49" s="77">
        <f>MSSリスト!P49</f>
        <v>0</v>
      </c>
      <c r="S49" s="77">
        <f>MSSリスト!Q49</f>
        <v>0</v>
      </c>
      <c r="T49" s="77">
        <f>MSSリスト!R49</f>
        <v>0</v>
      </c>
      <c r="U49" s="77">
        <f>MSSリスト!S49</f>
        <v>0</v>
      </c>
      <c r="V49" s="78">
        <f>MSSリスト!T49</f>
        <v>0</v>
      </c>
    </row>
    <row r="50" spans="4:22">
      <c r="D50" s="84" t="str">
        <f>IF(MSSリスト!B50&lt;&gt;"",HYPERLINK("https://nextoffice.next-hd.co.jp/pleasanter/items/"&amp;MSSリスト!B50&amp;"/edit","開く"),"")</f>
        <v/>
      </c>
      <c r="E50" s="76" t="str">
        <f>_xlfn.IFNA(VLOOKUP(MSSリスト!C50,ステータス一覧[],MATCH("ステータス",ステータス一覧[#Headers],0),FALSE),"")</f>
        <v/>
      </c>
      <c r="F50" s="75">
        <f>MSSリスト!D50</f>
        <v>0</v>
      </c>
      <c r="G50" s="76" t="str">
        <f>_xlfn.IFNA(VLOOKUP(MSSリスト!E50,シート分類一覧[],MATCH("種別",シート分類一覧[#Headers],0),FALSE),"")</f>
        <v/>
      </c>
      <c r="H50" s="74" t="str">
        <f>_xlfn.IFNA(VLOOKUP(MSSリスト!F50,営業所リスト[],MATCH("店舗名",営業所リスト[#Headers],0),FALSE),"")</f>
        <v/>
      </c>
      <c r="I50" s="74" t="str">
        <f>_xlfn.IFNA(VLOOKUP(MSSリスト!G50,社員リスト[],MATCH("名前",社員リスト[#Headers],0),FALSE),"")</f>
        <v/>
      </c>
      <c r="J50" s="74" t="str">
        <f>_xlfn.IFNA(VLOOKUP(MSSリスト!H50,社員リスト[],MATCH("名前",社員リスト[#Headers],0),FALSE),"")</f>
        <v/>
      </c>
      <c r="K50" s="74" t="str">
        <f>_xlfn.IFNA(VLOOKUP(MSSリスト!I50,社員リスト[],MATCH("名前",社員リスト[#Headers],0),FALSE),"")</f>
        <v/>
      </c>
      <c r="L50" s="74" t="str">
        <f>_xlfn.IFNA(VLOOKUP(MSSリスト!J50,社員リスト[],MATCH("名前",社員リスト[#Headers],0),FALSE),"")</f>
        <v/>
      </c>
      <c r="M50" s="526">
        <f>MSSリスト!K50</f>
        <v>0</v>
      </c>
      <c r="N50" s="76" t="str">
        <f>IF(MSSリスト!L50="","",_xlfn.IFNA(VLOOKUP(MSSリスト!L50,設計契約リスト[],MATCH("設計契約",設計契約リスト[#Headers],0),FALSE),""))</f>
        <v/>
      </c>
      <c r="O50" s="74" t="str">
        <f>_xlfn.IFNA(VLOOKUP(MSSリスト!M50,契約ブランドリスト[],MATCH("ブランド",契約ブランドリスト[#Headers],0),FALSE),"")</f>
        <v/>
      </c>
      <c r="P50" s="74">
        <f>MSSリスト!N50</f>
        <v>0</v>
      </c>
      <c r="Q50" s="77">
        <f>MSSリスト!O50</f>
        <v>0</v>
      </c>
      <c r="R50" s="77">
        <f>MSSリスト!P50</f>
        <v>0</v>
      </c>
      <c r="S50" s="77">
        <f>MSSリスト!Q50</f>
        <v>0</v>
      </c>
      <c r="T50" s="77">
        <f>MSSリスト!R50</f>
        <v>0</v>
      </c>
      <c r="U50" s="77">
        <f>MSSリスト!S50</f>
        <v>0</v>
      </c>
      <c r="V50" s="78">
        <f>MSSリスト!T50</f>
        <v>0</v>
      </c>
    </row>
    <row r="51" spans="4:22">
      <c r="D51" s="84" t="str">
        <f>IF(MSSリスト!B51&lt;&gt;"",HYPERLINK("https://nextoffice.next-hd.co.jp/pleasanter/items/"&amp;MSSリスト!B51&amp;"/edit","開く"),"")</f>
        <v/>
      </c>
      <c r="E51" s="76" t="str">
        <f>_xlfn.IFNA(VLOOKUP(MSSリスト!C51,ステータス一覧[],MATCH("ステータス",ステータス一覧[#Headers],0),FALSE),"")</f>
        <v/>
      </c>
      <c r="F51" s="75">
        <f>MSSリスト!D51</f>
        <v>0</v>
      </c>
      <c r="G51" s="76" t="str">
        <f>_xlfn.IFNA(VLOOKUP(MSSリスト!E51,シート分類一覧[],MATCH("種別",シート分類一覧[#Headers],0),FALSE),"")</f>
        <v/>
      </c>
      <c r="H51" s="74" t="str">
        <f>_xlfn.IFNA(VLOOKUP(MSSリスト!F51,営業所リスト[],MATCH("店舗名",営業所リスト[#Headers],0),FALSE),"")</f>
        <v/>
      </c>
      <c r="I51" s="74" t="str">
        <f>_xlfn.IFNA(VLOOKUP(MSSリスト!G51,社員リスト[],MATCH("名前",社員リスト[#Headers],0),FALSE),"")</f>
        <v/>
      </c>
      <c r="J51" s="74" t="str">
        <f>_xlfn.IFNA(VLOOKUP(MSSリスト!H51,社員リスト[],MATCH("名前",社員リスト[#Headers],0),FALSE),"")</f>
        <v/>
      </c>
      <c r="K51" s="74" t="str">
        <f>_xlfn.IFNA(VLOOKUP(MSSリスト!I51,社員リスト[],MATCH("名前",社員リスト[#Headers],0),FALSE),"")</f>
        <v/>
      </c>
      <c r="L51" s="74" t="str">
        <f>_xlfn.IFNA(VLOOKUP(MSSリスト!J51,社員リスト[],MATCH("名前",社員リスト[#Headers],0),FALSE),"")</f>
        <v/>
      </c>
      <c r="M51" s="526">
        <f>MSSリスト!K51</f>
        <v>0</v>
      </c>
      <c r="N51" s="76" t="str">
        <f>IF(MSSリスト!L51="","",_xlfn.IFNA(VLOOKUP(MSSリスト!L51,設計契約リスト[],MATCH("設計契約",設計契約リスト[#Headers],0),FALSE),""))</f>
        <v/>
      </c>
      <c r="O51" s="74" t="str">
        <f>_xlfn.IFNA(VLOOKUP(MSSリスト!M51,契約ブランドリスト[],MATCH("ブランド",契約ブランドリスト[#Headers],0),FALSE),"")</f>
        <v/>
      </c>
      <c r="P51" s="74">
        <f>MSSリスト!N51</f>
        <v>0</v>
      </c>
      <c r="Q51" s="77">
        <f>MSSリスト!O51</f>
        <v>0</v>
      </c>
      <c r="R51" s="77">
        <f>MSSリスト!P51</f>
        <v>0</v>
      </c>
      <c r="S51" s="77">
        <f>MSSリスト!Q51</f>
        <v>0</v>
      </c>
      <c r="T51" s="77">
        <f>MSSリスト!R51</f>
        <v>0</v>
      </c>
      <c r="U51" s="77">
        <f>MSSリスト!S51</f>
        <v>0</v>
      </c>
      <c r="V51" s="78">
        <f>MSSリスト!T51</f>
        <v>0</v>
      </c>
    </row>
    <row r="52" spans="4:22">
      <c r="D52" s="84" t="str">
        <f>IF(MSSリスト!B52&lt;&gt;"",HYPERLINK("https://nextoffice.next-hd.co.jp/pleasanter/items/"&amp;MSSリスト!B52&amp;"/edit","開く"),"")</f>
        <v/>
      </c>
      <c r="E52" s="76" t="str">
        <f>_xlfn.IFNA(VLOOKUP(MSSリスト!C52,ステータス一覧[],MATCH("ステータス",ステータス一覧[#Headers],0),FALSE),"")</f>
        <v/>
      </c>
      <c r="F52" s="75">
        <f>MSSリスト!D52</f>
        <v>0</v>
      </c>
      <c r="G52" s="76" t="str">
        <f>_xlfn.IFNA(VLOOKUP(MSSリスト!E52,シート分類一覧[],MATCH("種別",シート分類一覧[#Headers],0),FALSE),"")</f>
        <v/>
      </c>
      <c r="H52" s="74" t="str">
        <f>_xlfn.IFNA(VLOOKUP(MSSリスト!F52,営業所リスト[],MATCH("店舗名",営業所リスト[#Headers],0),FALSE),"")</f>
        <v/>
      </c>
      <c r="I52" s="74" t="str">
        <f>_xlfn.IFNA(VLOOKUP(MSSリスト!G52,社員リスト[],MATCH("名前",社員リスト[#Headers],0),FALSE),"")</f>
        <v/>
      </c>
      <c r="J52" s="74" t="str">
        <f>_xlfn.IFNA(VLOOKUP(MSSリスト!H52,社員リスト[],MATCH("名前",社員リスト[#Headers],0),FALSE),"")</f>
        <v/>
      </c>
      <c r="K52" s="74" t="str">
        <f>_xlfn.IFNA(VLOOKUP(MSSリスト!I52,社員リスト[],MATCH("名前",社員リスト[#Headers],0),FALSE),"")</f>
        <v/>
      </c>
      <c r="L52" s="74" t="str">
        <f>_xlfn.IFNA(VLOOKUP(MSSリスト!J52,社員リスト[],MATCH("名前",社員リスト[#Headers],0),FALSE),"")</f>
        <v/>
      </c>
      <c r="M52" s="526">
        <f>MSSリスト!K52</f>
        <v>0</v>
      </c>
      <c r="N52" s="76" t="str">
        <f>IF(MSSリスト!L52="","",_xlfn.IFNA(VLOOKUP(MSSリスト!L52,設計契約リスト[],MATCH("設計契約",設計契約リスト[#Headers],0),FALSE),""))</f>
        <v/>
      </c>
      <c r="O52" s="74" t="str">
        <f>_xlfn.IFNA(VLOOKUP(MSSリスト!M52,契約ブランドリスト[],MATCH("ブランド",契約ブランドリスト[#Headers],0),FALSE),"")</f>
        <v/>
      </c>
      <c r="P52" s="74">
        <f>MSSリスト!N52</f>
        <v>0</v>
      </c>
      <c r="Q52" s="77">
        <f>MSSリスト!O52</f>
        <v>0</v>
      </c>
      <c r="R52" s="77">
        <f>MSSリスト!P52</f>
        <v>0</v>
      </c>
      <c r="S52" s="77">
        <f>MSSリスト!Q52</f>
        <v>0</v>
      </c>
      <c r="T52" s="77">
        <f>MSSリスト!R52</f>
        <v>0</v>
      </c>
      <c r="U52" s="77">
        <f>MSSリスト!S52</f>
        <v>0</v>
      </c>
      <c r="V52" s="78">
        <f>MSSリスト!T52</f>
        <v>0</v>
      </c>
    </row>
    <row r="53" spans="4:22">
      <c r="D53" s="84" t="str">
        <f>IF(MSSリスト!B53&lt;&gt;"",HYPERLINK("https://nextoffice.next-hd.co.jp/pleasanter/items/"&amp;MSSリスト!B53&amp;"/edit","開く"),"")</f>
        <v/>
      </c>
      <c r="E53" s="76" t="str">
        <f>_xlfn.IFNA(VLOOKUP(MSSリスト!C53,ステータス一覧[],MATCH("ステータス",ステータス一覧[#Headers],0),FALSE),"")</f>
        <v/>
      </c>
      <c r="F53" s="75">
        <f>MSSリスト!D53</f>
        <v>0</v>
      </c>
      <c r="G53" s="76" t="str">
        <f>_xlfn.IFNA(VLOOKUP(MSSリスト!E53,シート分類一覧[],MATCH("種別",シート分類一覧[#Headers],0),FALSE),"")</f>
        <v/>
      </c>
      <c r="H53" s="74" t="str">
        <f>_xlfn.IFNA(VLOOKUP(MSSリスト!F53,営業所リスト[],MATCH("店舗名",営業所リスト[#Headers],0),FALSE),"")</f>
        <v/>
      </c>
      <c r="I53" s="74" t="str">
        <f>_xlfn.IFNA(VLOOKUP(MSSリスト!G53,社員リスト[],MATCH("名前",社員リスト[#Headers],0),FALSE),"")</f>
        <v/>
      </c>
      <c r="J53" s="74" t="str">
        <f>_xlfn.IFNA(VLOOKUP(MSSリスト!H53,社員リスト[],MATCH("名前",社員リスト[#Headers],0),FALSE),"")</f>
        <v/>
      </c>
      <c r="K53" s="74" t="str">
        <f>_xlfn.IFNA(VLOOKUP(MSSリスト!I53,社員リスト[],MATCH("名前",社員リスト[#Headers],0),FALSE),"")</f>
        <v/>
      </c>
      <c r="L53" s="74" t="str">
        <f>_xlfn.IFNA(VLOOKUP(MSSリスト!J53,社員リスト[],MATCH("名前",社員リスト[#Headers],0),FALSE),"")</f>
        <v/>
      </c>
      <c r="M53" s="526">
        <f>MSSリスト!K53</f>
        <v>0</v>
      </c>
      <c r="N53" s="76" t="str">
        <f>IF(MSSリスト!L53="","",_xlfn.IFNA(VLOOKUP(MSSリスト!L53,設計契約リスト[],MATCH("設計契約",設計契約リスト[#Headers],0),FALSE),""))</f>
        <v/>
      </c>
      <c r="O53" s="74" t="str">
        <f>_xlfn.IFNA(VLOOKUP(MSSリスト!M53,契約ブランドリスト[],MATCH("ブランド",契約ブランドリスト[#Headers],0),FALSE),"")</f>
        <v/>
      </c>
      <c r="P53" s="74">
        <f>MSSリスト!N53</f>
        <v>0</v>
      </c>
      <c r="Q53" s="77">
        <f>MSSリスト!O53</f>
        <v>0</v>
      </c>
      <c r="R53" s="77">
        <f>MSSリスト!P53</f>
        <v>0</v>
      </c>
      <c r="S53" s="77">
        <f>MSSリスト!Q53</f>
        <v>0</v>
      </c>
      <c r="T53" s="77">
        <f>MSSリスト!R53</f>
        <v>0</v>
      </c>
      <c r="U53" s="77">
        <f>MSSリスト!S53</f>
        <v>0</v>
      </c>
      <c r="V53" s="78">
        <f>MSSリスト!T53</f>
        <v>0</v>
      </c>
    </row>
    <row r="54" spans="4:22">
      <c r="D54" s="84" t="str">
        <f>IF(MSSリスト!B54&lt;&gt;"",HYPERLINK("https://nextoffice.next-hd.co.jp/pleasanter/items/"&amp;MSSリスト!B54&amp;"/edit","開く"),"")</f>
        <v/>
      </c>
      <c r="E54" s="76" t="str">
        <f>_xlfn.IFNA(VLOOKUP(MSSリスト!C54,ステータス一覧[],MATCH("ステータス",ステータス一覧[#Headers],0),FALSE),"")</f>
        <v/>
      </c>
      <c r="F54" s="75">
        <f>MSSリスト!D54</f>
        <v>0</v>
      </c>
      <c r="G54" s="76" t="str">
        <f>_xlfn.IFNA(VLOOKUP(MSSリスト!E54,シート分類一覧[],MATCH("種別",シート分類一覧[#Headers],0),FALSE),"")</f>
        <v/>
      </c>
      <c r="H54" s="74" t="str">
        <f>_xlfn.IFNA(VLOOKUP(MSSリスト!F54,営業所リスト[],MATCH("店舗名",営業所リスト[#Headers],0),FALSE),"")</f>
        <v/>
      </c>
      <c r="I54" s="74" t="str">
        <f>_xlfn.IFNA(VLOOKUP(MSSリスト!G54,社員リスト[],MATCH("名前",社員リスト[#Headers],0),FALSE),"")</f>
        <v/>
      </c>
      <c r="J54" s="74" t="str">
        <f>_xlfn.IFNA(VLOOKUP(MSSリスト!H54,社員リスト[],MATCH("名前",社員リスト[#Headers],0),FALSE),"")</f>
        <v/>
      </c>
      <c r="K54" s="74" t="str">
        <f>_xlfn.IFNA(VLOOKUP(MSSリスト!I54,社員リスト[],MATCH("名前",社員リスト[#Headers],0),FALSE),"")</f>
        <v/>
      </c>
      <c r="L54" s="74" t="str">
        <f>_xlfn.IFNA(VLOOKUP(MSSリスト!J54,社員リスト[],MATCH("名前",社員リスト[#Headers],0),FALSE),"")</f>
        <v/>
      </c>
      <c r="M54" s="526">
        <f>MSSリスト!K54</f>
        <v>0</v>
      </c>
      <c r="N54" s="76" t="str">
        <f>IF(MSSリスト!L54="","",_xlfn.IFNA(VLOOKUP(MSSリスト!L54,設計契約リスト[],MATCH("設計契約",設計契約リスト[#Headers],0),FALSE),""))</f>
        <v/>
      </c>
      <c r="O54" s="74" t="str">
        <f>_xlfn.IFNA(VLOOKUP(MSSリスト!M54,契約ブランドリスト[],MATCH("ブランド",契約ブランドリスト[#Headers],0),FALSE),"")</f>
        <v/>
      </c>
      <c r="P54" s="74">
        <f>MSSリスト!N54</f>
        <v>0</v>
      </c>
      <c r="Q54" s="77">
        <f>MSSリスト!O54</f>
        <v>0</v>
      </c>
      <c r="R54" s="77">
        <f>MSSリスト!P54</f>
        <v>0</v>
      </c>
      <c r="S54" s="77">
        <f>MSSリスト!Q54</f>
        <v>0</v>
      </c>
      <c r="T54" s="77">
        <f>MSSリスト!R54</f>
        <v>0</v>
      </c>
      <c r="U54" s="77">
        <f>MSSリスト!S54</f>
        <v>0</v>
      </c>
      <c r="V54" s="78">
        <f>MSSリスト!T54</f>
        <v>0</v>
      </c>
    </row>
    <row r="55" spans="4:22">
      <c r="D55" s="84" t="str">
        <f>IF(MSSリスト!B55&lt;&gt;"",HYPERLINK("https://nextoffice.next-hd.co.jp/pleasanter/items/"&amp;MSSリスト!B55&amp;"/edit","開く"),"")</f>
        <v/>
      </c>
      <c r="E55" s="76" t="str">
        <f>_xlfn.IFNA(VLOOKUP(MSSリスト!C55,ステータス一覧[],MATCH("ステータス",ステータス一覧[#Headers],0),FALSE),"")</f>
        <v/>
      </c>
      <c r="F55" s="75">
        <f>MSSリスト!D55</f>
        <v>0</v>
      </c>
      <c r="G55" s="76" t="str">
        <f>_xlfn.IFNA(VLOOKUP(MSSリスト!E55,シート分類一覧[],MATCH("種別",シート分類一覧[#Headers],0),FALSE),"")</f>
        <v/>
      </c>
      <c r="H55" s="74" t="str">
        <f>_xlfn.IFNA(VLOOKUP(MSSリスト!F55,営業所リスト[],MATCH("店舗名",営業所リスト[#Headers],0),FALSE),"")</f>
        <v/>
      </c>
      <c r="I55" s="74" t="str">
        <f>_xlfn.IFNA(VLOOKUP(MSSリスト!G55,社員リスト[],MATCH("名前",社員リスト[#Headers],0),FALSE),"")</f>
        <v/>
      </c>
      <c r="J55" s="74" t="str">
        <f>_xlfn.IFNA(VLOOKUP(MSSリスト!H55,社員リスト[],MATCH("名前",社員リスト[#Headers],0),FALSE),"")</f>
        <v/>
      </c>
      <c r="K55" s="74" t="str">
        <f>_xlfn.IFNA(VLOOKUP(MSSリスト!I55,社員リスト[],MATCH("名前",社員リスト[#Headers],0),FALSE),"")</f>
        <v/>
      </c>
      <c r="L55" s="74" t="str">
        <f>_xlfn.IFNA(VLOOKUP(MSSリスト!J55,社員リスト[],MATCH("名前",社員リスト[#Headers],0),FALSE),"")</f>
        <v/>
      </c>
      <c r="M55" s="526">
        <f>MSSリスト!K55</f>
        <v>0</v>
      </c>
      <c r="N55" s="76" t="str">
        <f>IF(MSSリスト!L55="","",_xlfn.IFNA(VLOOKUP(MSSリスト!L55,設計契約リスト[],MATCH("設計契約",設計契約リスト[#Headers],0),FALSE),""))</f>
        <v/>
      </c>
      <c r="O55" s="74" t="str">
        <f>_xlfn.IFNA(VLOOKUP(MSSリスト!M55,契約ブランドリスト[],MATCH("ブランド",契約ブランドリスト[#Headers],0),FALSE),"")</f>
        <v/>
      </c>
      <c r="P55" s="74">
        <f>MSSリスト!N55</f>
        <v>0</v>
      </c>
      <c r="Q55" s="77">
        <f>MSSリスト!O55</f>
        <v>0</v>
      </c>
      <c r="R55" s="77">
        <f>MSSリスト!P55</f>
        <v>0</v>
      </c>
      <c r="S55" s="77">
        <f>MSSリスト!Q55</f>
        <v>0</v>
      </c>
      <c r="T55" s="77">
        <f>MSSリスト!R55</f>
        <v>0</v>
      </c>
      <c r="U55" s="77">
        <f>MSSリスト!S55</f>
        <v>0</v>
      </c>
      <c r="V55" s="78">
        <f>MSSリスト!T55</f>
        <v>0</v>
      </c>
    </row>
    <row r="56" spans="4:22">
      <c r="D56" s="84" t="str">
        <f>IF(MSSリスト!B56&lt;&gt;"",HYPERLINK("https://nextoffice.next-hd.co.jp/pleasanter/items/"&amp;MSSリスト!B56&amp;"/edit","開く"),"")</f>
        <v/>
      </c>
      <c r="E56" s="76" t="str">
        <f>_xlfn.IFNA(VLOOKUP(MSSリスト!C56,ステータス一覧[],MATCH("ステータス",ステータス一覧[#Headers],0),FALSE),"")</f>
        <v/>
      </c>
      <c r="F56" s="75">
        <f>MSSリスト!D56</f>
        <v>0</v>
      </c>
      <c r="G56" s="76" t="str">
        <f>_xlfn.IFNA(VLOOKUP(MSSリスト!E56,シート分類一覧[],MATCH("種別",シート分類一覧[#Headers],0),FALSE),"")</f>
        <v/>
      </c>
      <c r="H56" s="74" t="str">
        <f>_xlfn.IFNA(VLOOKUP(MSSリスト!F56,営業所リスト[],MATCH("店舗名",営業所リスト[#Headers],0),FALSE),"")</f>
        <v/>
      </c>
      <c r="I56" s="74" t="str">
        <f>_xlfn.IFNA(VLOOKUP(MSSリスト!G56,社員リスト[],MATCH("名前",社員リスト[#Headers],0),FALSE),"")</f>
        <v/>
      </c>
      <c r="J56" s="74" t="str">
        <f>_xlfn.IFNA(VLOOKUP(MSSリスト!H56,社員リスト[],MATCH("名前",社員リスト[#Headers],0),FALSE),"")</f>
        <v/>
      </c>
      <c r="K56" s="74" t="str">
        <f>_xlfn.IFNA(VLOOKUP(MSSリスト!I56,社員リスト[],MATCH("名前",社員リスト[#Headers],0),FALSE),"")</f>
        <v/>
      </c>
      <c r="L56" s="74" t="str">
        <f>_xlfn.IFNA(VLOOKUP(MSSリスト!J56,社員リスト[],MATCH("名前",社員リスト[#Headers],0),FALSE),"")</f>
        <v/>
      </c>
      <c r="M56" s="526">
        <f>MSSリスト!K56</f>
        <v>0</v>
      </c>
      <c r="N56" s="76" t="str">
        <f>IF(MSSリスト!L56="","",_xlfn.IFNA(VLOOKUP(MSSリスト!L56,設計契約リスト[],MATCH("設計契約",設計契約リスト[#Headers],0),FALSE),""))</f>
        <v/>
      </c>
      <c r="O56" s="74" t="str">
        <f>_xlfn.IFNA(VLOOKUP(MSSリスト!M56,契約ブランドリスト[],MATCH("ブランド",契約ブランドリスト[#Headers],0),FALSE),"")</f>
        <v/>
      </c>
      <c r="P56" s="74">
        <f>MSSリスト!N56</f>
        <v>0</v>
      </c>
      <c r="Q56" s="77">
        <f>MSSリスト!O56</f>
        <v>0</v>
      </c>
      <c r="R56" s="77">
        <f>MSSリスト!P56</f>
        <v>0</v>
      </c>
      <c r="S56" s="77">
        <f>MSSリスト!Q56</f>
        <v>0</v>
      </c>
      <c r="T56" s="77">
        <f>MSSリスト!R56</f>
        <v>0</v>
      </c>
      <c r="U56" s="77">
        <f>MSSリスト!S56</f>
        <v>0</v>
      </c>
      <c r="V56" s="78">
        <f>MSSリスト!T56</f>
        <v>0</v>
      </c>
    </row>
    <row r="57" spans="4:22">
      <c r="D57" s="84" t="str">
        <f>IF(MSSリスト!B57&lt;&gt;"",HYPERLINK("https://nextoffice.next-hd.co.jp/pleasanter/items/"&amp;MSSリスト!B57&amp;"/edit","開く"),"")</f>
        <v/>
      </c>
      <c r="E57" s="76" t="str">
        <f>_xlfn.IFNA(VLOOKUP(MSSリスト!C57,ステータス一覧[],MATCH("ステータス",ステータス一覧[#Headers],0),FALSE),"")</f>
        <v/>
      </c>
      <c r="F57" s="75">
        <f>MSSリスト!D57</f>
        <v>0</v>
      </c>
      <c r="G57" s="76" t="str">
        <f>_xlfn.IFNA(VLOOKUP(MSSリスト!E57,シート分類一覧[],MATCH("種別",シート分類一覧[#Headers],0),FALSE),"")</f>
        <v/>
      </c>
      <c r="H57" s="74" t="str">
        <f>_xlfn.IFNA(VLOOKUP(MSSリスト!F57,営業所リスト[],MATCH("店舗名",営業所リスト[#Headers],0),FALSE),"")</f>
        <v/>
      </c>
      <c r="I57" s="74" t="str">
        <f>_xlfn.IFNA(VLOOKUP(MSSリスト!G57,社員リスト[],MATCH("名前",社員リスト[#Headers],0),FALSE),"")</f>
        <v/>
      </c>
      <c r="J57" s="74" t="str">
        <f>_xlfn.IFNA(VLOOKUP(MSSリスト!H57,社員リスト[],MATCH("名前",社員リスト[#Headers],0),FALSE),"")</f>
        <v/>
      </c>
      <c r="K57" s="74" t="str">
        <f>_xlfn.IFNA(VLOOKUP(MSSリスト!I57,社員リスト[],MATCH("名前",社員リスト[#Headers],0),FALSE),"")</f>
        <v/>
      </c>
      <c r="L57" s="74" t="str">
        <f>_xlfn.IFNA(VLOOKUP(MSSリスト!J57,社員リスト[],MATCH("名前",社員リスト[#Headers],0),FALSE),"")</f>
        <v/>
      </c>
      <c r="M57" s="526">
        <f>MSSリスト!K57</f>
        <v>0</v>
      </c>
      <c r="N57" s="76" t="str">
        <f>IF(MSSリスト!L57="","",_xlfn.IFNA(VLOOKUP(MSSリスト!L57,設計契約リスト[],MATCH("設計契約",設計契約リスト[#Headers],0),FALSE),""))</f>
        <v/>
      </c>
      <c r="O57" s="74" t="str">
        <f>_xlfn.IFNA(VLOOKUP(MSSリスト!M57,契約ブランドリスト[],MATCH("ブランド",契約ブランドリスト[#Headers],0),FALSE),"")</f>
        <v/>
      </c>
      <c r="P57" s="74">
        <f>MSSリスト!N57</f>
        <v>0</v>
      </c>
      <c r="Q57" s="77">
        <f>MSSリスト!O57</f>
        <v>0</v>
      </c>
      <c r="R57" s="77">
        <f>MSSリスト!P57</f>
        <v>0</v>
      </c>
      <c r="S57" s="77">
        <f>MSSリスト!Q57</f>
        <v>0</v>
      </c>
      <c r="T57" s="77">
        <f>MSSリスト!R57</f>
        <v>0</v>
      </c>
      <c r="U57" s="77">
        <f>MSSリスト!S57</f>
        <v>0</v>
      </c>
      <c r="V57" s="78">
        <f>MSSリスト!T57</f>
        <v>0</v>
      </c>
    </row>
    <row r="58" spans="4:22">
      <c r="D58" s="84" t="str">
        <f>IF(MSSリスト!B58&lt;&gt;"",HYPERLINK("https://nextoffice.next-hd.co.jp/pleasanter/items/"&amp;MSSリスト!B58&amp;"/edit","開く"),"")</f>
        <v/>
      </c>
      <c r="E58" s="76" t="str">
        <f>_xlfn.IFNA(VLOOKUP(MSSリスト!C58,ステータス一覧[],MATCH("ステータス",ステータス一覧[#Headers],0),FALSE),"")</f>
        <v/>
      </c>
      <c r="F58" s="75">
        <f>MSSリスト!D58</f>
        <v>0</v>
      </c>
      <c r="G58" s="76" t="str">
        <f>_xlfn.IFNA(VLOOKUP(MSSリスト!E58,シート分類一覧[],MATCH("種別",シート分類一覧[#Headers],0),FALSE),"")</f>
        <v/>
      </c>
      <c r="H58" s="74" t="str">
        <f>_xlfn.IFNA(VLOOKUP(MSSリスト!F58,営業所リスト[],MATCH("店舗名",営業所リスト[#Headers],0),FALSE),"")</f>
        <v/>
      </c>
      <c r="I58" s="74" t="str">
        <f>_xlfn.IFNA(VLOOKUP(MSSリスト!G58,社員リスト[],MATCH("名前",社員リスト[#Headers],0),FALSE),"")</f>
        <v/>
      </c>
      <c r="J58" s="74" t="str">
        <f>_xlfn.IFNA(VLOOKUP(MSSリスト!H58,社員リスト[],MATCH("名前",社員リスト[#Headers],0),FALSE),"")</f>
        <v/>
      </c>
      <c r="K58" s="74" t="str">
        <f>_xlfn.IFNA(VLOOKUP(MSSリスト!I58,社員リスト[],MATCH("名前",社員リスト[#Headers],0),FALSE),"")</f>
        <v/>
      </c>
      <c r="L58" s="74" t="str">
        <f>_xlfn.IFNA(VLOOKUP(MSSリスト!J58,社員リスト[],MATCH("名前",社員リスト[#Headers],0),FALSE),"")</f>
        <v/>
      </c>
      <c r="M58" s="526">
        <f>MSSリスト!K58</f>
        <v>0</v>
      </c>
      <c r="N58" s="76" t="str">
        <f>IF(MSSリスト!L58="","",_xlfn.IFNA(VLOOKUP(MSSリスト!L58,設計契約リスト[],MATCH("設計契約",設計契約リスト[#Headers],0),FALSE),""))</f>
        <v/>
      </c>
      <c r="O58" s="74" t="str">
        <f>_xlfn.IFNA(VLOOKUP(MSSリスト!M58,契約ブランドリスト[],MATCH("ブランド",契約ブランドリスト[#Headers],0),FALSE),"")</f>
        <v/>
      </c>
      <c r="P58" s="74">
        <f>MSSリスト!N58</f>
        <v>0</v>
      </c>
      <c r="Q58" s="77">
        <f>MSSリスト!O58</f>
        <v>0</v>
      </c>
      <c r="R58" s="77">
        <f>MSSリスト!P58</f>
        <v>0</v>
      </c>
      <c r="S58" s="77">
        <f>MSSリスト!Q58</f>
        <v>0</v>
      </c>
      <c r="T58" s="77">
        <f>MSSリスト!R58</f>
        <v>0</v>
      </c>
      <c r="U58" s="77">
        <f>MSSリスト!S58</f>
        <v>0</v>
      </c>
      <c r="V58" s="78">
        <f>MSSリスト!T58</f>
        <v>0</v>
      </c>
    </row>
    <row r="59" spans="4:22">
      <c r="D59" s="84" t="str">
        <f>IF(MSSリスト!B59&lt;&gt;"",HYPERLINK("https://nextoffice.next-hd.co.jp/pleasanter/items/"&amp;MSSリスト!B59&amp;"/edit","開く"),"")</f>
        <v/>
      </c>
      <c r="E59" s="76" t="str">
        <f>_xlfn.IFNA(VLOOKUP(MSSリスト!C59,ステータス一覧[],MATCH("ステータス",ステータス一覧[#Headers],0),FALSE),"")</f>
        <v/>
      </c>
      <c r="F59" s="75">
        <f>MSSリスト!D59</f>
        <v>0</v>
      </c>
      <c r="G59" s="76" t="str">
        <f>_xlfn.IFNA(VLOOKUP(MSSリスト!E59,シート分類一覧[],MATCH("種別",シート分類一覧[#Headers],0),FALSE),"")</f>
        <v/>
      </c>
      <c r="H59" s="74" t="str">
        <f>_xlfn.IFNA(VLOOKUP(MSSリスト!F59,営業所リスト[],MATCH("店舗名",営業所リスト[#Headers],0),FALSE),"")</f>
        <v/>
      </c>
      <c r="I59" s="74" t="str">
        <f>_xlfn.IFNA(VLOOKUP(MSSリスト!G59,社員リスト[],MATCH("名前",社員リスト[#Headers],0),FALSE),"")</f>
        <v/>
      </c>
      <c r="J59" s="74" t="str">
        <f>_xlfn.IFNA(VLOOKUP(MSSリスト!H59,社員リスト[],MATCH("名前",社員リスト[#Headers],0),FALSE),"")</f>
        <v/>
      </c>
      <c r="K59" s="74" t="str">
        <f>_xlfn.IFNA(VLOOKUP(MSSリスト!I59,社員リスト[],MATCH("名前",社員リスト[#Headers],0),FALSE),"")</f>
        <v/>
      </c>
      <c r="L59" s="74" t="str">
        <f>_xlfn.IFNA(VLOOKUP(MSSリスト!J59,社員リスト[],MATCH("名前",社員リスト[#Headers],0),FALSE),"")</f>
        <v/>
      </c>
      <c r="M59" s="526">
        <f>MSSリスト!K59</f>
        <v>0</v>
      </c>
      <c r="N59" s="76" t="str">
        <f>IF(MSSリスト!L59="","",_xlfn.IFNA(VLOOKUP(MSSリスト!L59,設計契約リスト[],MATCH("設計契約",設計契約リスト[#Headers],0),FALSE),""))</f>
        <v/>
      </c>
      <c r="O59" s="74" t="str">
        <f>_xlfn.IFNA(VLOOKUP(MSSリスト!M59,契約ブランドリスト[],MATCH("ブランド",契約ブランドリスト[#Headers],0),FALSE),"")</f>
        <v/>
      </c>
      <c r="P59" s="74">
        <f>MSSリスト!N59</f>
        <v>0</v>
      </c>
      <c r="Q59" s="77">
        <f>MSSリスト!O59</f>
        <v>0</v>
      </c>
      <c r="R59" s="77">
        <f>MSSリスト!P59</f>
        <v>0</v>
      </c>
      <c r="S59" s="77">
        <f>MSSリスト!Q59</f>
        <v>0</v>
      </c>
      <c r="T59" s="77">
        <f>MSSリスト!R59</f>
        <v>0</v>
      </c>
      <c r="U59" s="77">
        <f>MSSリスト!S59</f>
        <v>0</v>
      </c>
      <c r="V59" s="78">
        <f>MSSリスト!T59</f>
        <v>0</v>
      </c>
    </row>
    <row r="60" spans="4:22">
      <c r="D60" s="84" t="str">
        <f>IF(MSSリスト!B60&lt;&gt;"",HYPERLINK("https://nextoffice.next-hd.co.jp/pleasanter/items/"&amp;MSSリスト!B60&amp;"/edit","開く"),"")</f>
        <v/>
      </c>
      <c r="E60" s="76" t="str">
        <f>_xlfn.IFNA(VLOOKUP(MSSリスト!C60,ステータス一覧[],MATCH("ステータス",ステータス一覧[#Headers],0),FALSE),"")</f>
        <v/>
      </c>
      <c r="F60" s="75">
        <f>MSSリスト!D60</f>
        <v>0</v>
      </c>
      <c r="G60" s="76" t="str">
        <f>_xlfn.IFNA(VLOOKUP(MSSリスト!E60,シート分類一覧[],MATCH("種別",シート分類一覧[#Headers],0),FALSE),"")</f>
        <v/>
      </c>
      <c r="H60" s="74" t="str">
        <f>_xlfn.IFNA(VLOOKUP(MSSリスト!F60,営業所リスト[],MATCH("店舗名",営業所リスト[#Headers],0),FALSE),"")</f>
        <v/>
      </c>
      <c r="I60" s="74" t="str">
        <f>_xlfn.IFNA(VLOOKUP(MSSリスト!G60,社員リスト[],MATCH("名前",社員リスト[#Headers],0),FALSE),"")</f>
        <v/>
      </c>
      <c r="J60" s="74" t="str">
        <f>_xlfn.IFNA(VLOOKUP(MSSリスト!H60,社員リスト[],MATCH("名前",社員リスト[#Headers],0),FALSE),"")</f>
        <v/>
      </c>
      <c r="K60" s="74" t="str">
        <f>_xlfn.IFNA(VLOOKUP(MSSリスト!I60,社員リスト[],MATCH("名前",社員リスト[#Headers],0),FALSE),"")</f>
        <v/>
      </c>
      <c r="L60" s="74" t="str">
        <f>_xlfn.IFNA(VLOOKUP(MSSリスト!J60,社員リスト[],MATCH("名前",社員リスト[#Headers],0),FALSE),"")</f>
        <v/>
      </c>
      <c r="M60" s="526">
        <f>MSSリスト!K60</f>
        <v>0</v>
      </c>
      <c r="N60" s="76" t="str">
        <f>IF(MSSリスト!L60="","",_xlfn.IFNA(VLOOKUP(MSSリスト!L60,設計契約リスト[],MATCH("設計契約",設計契約リスト[#Headers],0),FALSE),""))</f>
        <v/>
      </c>
      <c r="O60" s="74" t="str">
        <f>_xlfn.IFNA(VLOOKUP(MSSリスト!M60,契約ブランドリスト[],MATCH("ブランド",契約ブランドリスト[#Headers],0),FALSE),"")</f>
        <v/>
      </c>
      <c r="P60" s="74">
        <f>MSSリスト!N60</f>
        <v>0</v>
      </c>
      <c r="Q60" s="77">
        <f>MSSリスト!O60</f>
        <v>0</v>
      </c>
      <c r="R60" s="77">
        <f>MSSリスト!P60</f>
        <v>0</v>
      </c>
      <c r="S60" s="77">
        <f>MSSリスト!Q60</f>
        <v>0</v>
      </c>
      <c r="T60" s="77">
        <f>MSSリスト!R60</f>
        <v>0</v>
      </c>
      <c r="U60" s="77">
        <f>MSSリスト!S60</f>
        <v>0</v>
      </c>
      <c r="V60" s="78">
        <f>MSSリスト!T60</f>
        <v>0</v>
      </c>
    </row>
    <row r="61" spans="4:22">
      <c r="D61" s="84" t="str">
        <f>IF(MSSリスト!B61&lt;&gt;"",HYPERLINK("https://nextoffice.next-hd.co.jp/pleasanter/items/"&amp;MSSリスト!B61&amp;"/edit","開く"),"")</f>
        <v/>
      </c>
      <c r="E61" s="76" t="str">
        <f>_xlfn.IFNA(VLOOKUP(MSSリスト!C61,ステータス一覧[],MATCH("ステータス",ステータス一覧[#Headers],0),FALSE),"")</f>
        <v/>
      </c>
      <c r="F61" s="75">
        <f>MSSリスト!D61</f>
        <v>0</v>
      </c>
      <c r="G61" s="76" t="str">
        <f>_xlfn.IFNA(VLOOKUP(MSSリスト!E61,シート分類一覧[],MATCH("種別",シート分類一覧[#Headers],0),FALSE),"")</f>
        <v/>
      </c>
      <c r="H61" s="74" t="str">
        <f>_xlfn.IFNA(VLOOKUP(MSSリスト!F61,営業所リスト[],MATCH("店舗名",営業所リスト[#Headers],0),FALSE),"")</f>
        <v/>
      </c>
      <c r="I61" s="74" t="str">
        <f>_xlfn.IFNA(VLOOKUP(MSSリスト!G61,社員リスト[],MATCH("名前",社員リスト[#Headers],0),FALSE),"")</f>
        <v/>
      </c>
      <c r="J61" s="74" t="str">
        <f>_xlfn.IFNA(VLOOKUP(MSSリスト!H61,社員リスト[],MATCH("名前",社員リスト[#Headers],0),FALSE),"")</f>
        <v/>
      </c>
      <c r="K61" s="74" t="str">
        <f>_xlfn.IFNA(VLOOKUP(MSSリスト!I61,社員リスト[],MATCH("名前",社員リスト[#Headers],0),FALSE),"")</f>
        <v/>
      </c>
      <c r="L61" s="74" t="str">
        <f>_xlfn.IFNA(VLOOKUP(MSSリスト!J61,社員リスト[],MATCH("名前",社員リスト[#Headers],0),FALSE),"")</f>
        <v/>
      </c>
      <c r="M61" s="526">
        <f>MSSリスト!K61</f>
        <v>0</v>
      </c>
      <c r="N61" s="76" t="str">
        <f>IF(MSSリスト!L61="","",_xlfn.IFNA(VLOOKUP(MSSリスト!L61,設計契約リスト[],MATCH("設計契約",設計契約リスト[#Headers],0),FALSE),""))</f>
        <v/>
      </c>
      <c r="O61" s="74" t="str">
        <f>_xlfn.IFNA(VLOOKUP(MSSリスト!M61,契約ブランドリスト[],MATCH("ブランド",契約ブランドリスト[#Headers],0),FALSE),"")</f>
        <v/>
      </c>
      <c r="P61" s="74">
        <f>MSSリスト!N61</f>
        <v>0</v>
      </c>
      <c r="Q61" s="77">
        <f>MSSリスト!O61</f>
        <v>0</v>
      </c>
      <c r="R61" s="77">
        <f>MSSリスト!P61</f>
        <v>0</v>
      </c>
      <c r="S61" s="77">
        <f>MSSリスト!Q61</f>
        <v>0</v>
      </c>
      <c r="T61" s="77">
        <f>MSSリスト!R61</f>
        <v>0</v>
      </c>
      <c r="U61" s="77">
        <f>MSSリスト!S61</f>
        <v>0</v>
      </c>
      <c r="V61" s="78">
        <f>MSSリスト!T61</f>
        <v>0</v>
      </c>
    </row>
    <row r="62" spans="4:22">
      <c r="D62" s="84" t="str">
        <f>IF(MSSリスト!B62&lt;&gt;"",HYPERLINK("https://nextoffice.next-hd.co.jp/pleasanter/items/"&amp;MSSリスト!B62&amp;"/edit","開く"),"")</f>
        <v/>
      </c>
      <c r="E62" s="76" t="str">
        <f>_xlfn.IFNA(VLOOKUP(MSSリスト!C62,ステータス一覧[],MATCH("ステータス",ステータス一覧[#Headers],0),FALSE),"")</f>
        <v/>
      </c>
      <c r="F62" s="75">
        <f>MSSリスト!D62</f>
        <v>0</v>
      </c>
      <c r="G62" s="76" t="str">
        <f>_xlfn.IFNA(VLOOKUP(MSSリスト!E62,シート分類一覧[],MATCH("種別",シート分類一覧[#Headers],0),FALSE),"")</f>
        <v/>
      </c>
      <c r="H62" s="74" t="str">
        <f>_xlfn.IFNA(VLOOKUP(MSSリスト!F62,営業所リスト[],MATCH("店舗名",営業所リスト[#Headers],0),FALSE),"")</f>
        <v/>
      </c>
      <c r="I62" s="74" t="str">
        <f>_xlfn.IFNA(VLOOKUP(MSSリスト!G62,社員リスト[],MATCH("名前",社員リスト[#Headers],0),FALSE),"")</f>
        <v/>
      </c>
      <c r="J62" s="74" t="str">
        <f>_xlfn.IFNA(VLOOKUP(MSSリスト!H62,社員リスト[],MATCH("名前",社員リスト[#Headers],0),FALSE),"")</f>
        <v/>
      </c>
      <c r="K62" s="74" t="str">
        <f>_xlfn.IFNA(VLOOKUP(MSSリスト!I62,社員リスト[],MATCH("名前",社員リスト[#Headers],0),FALSE),"")</f>
        <v/>
      </c>
      <c r="L62" s="74" t="str">
        <f>_xlfn.IFNA(VLOOKUP(MSSリスト!J62,社員リスト[],MATCH("名前",社員リスト[#Headers],0),FALSE),"")</f>
        <v/>
      </c>
      <c r="M62" s="526">
        <f>MSSリスト!K62</f>
        <v>0</v>
      </c>
      <c r="N62" s="76" t="str">
        <f>IF(MSSリスト!L62="","",_xlfn.IFNA(VLOOKUP(MSSリスト!L62,設計契約リスト[],MATCH("設計契約",設計契約リスト[#Headers],0),FALSE),""))</f>
        <v/>
      </c>
      <c r="O62" s="74" t="str">
        <f>_xlfn.IFNA(VLOOKUP(MSSリスト!M62,契約ブランドリスト[],MATCH("ブランド",契約ブランドリスト[#Headers],0),FALSE),"")</f>
        <v/>
      </c>
      <c r="P62" s="74">
        <f>MSSリスト!N62</f>
        <v>0</v>
      </c>
      <c r="Q62" s="77">
        <f>MSSリスト!O62</f>
        <v>0</v>
      </c>
      <c r="R62" s="77">
        <f>MSSリスト!P62</f>
        <v>0</v>
      </c>
      <c r="S62" s="77">
        <f>MSSリスト!Q62</f>
        <v>0</v>
      </c>
      <c r="T62" s="77">
        <f>MSSリスト!R62</f>
        <v>0</v>
      </c>
      <c r="U62" s="77">
        <f>MSSリスト!S62</f>
        <v>0</v>
      </c>
      <c r="V62" s="78">
        <f>MSSリスト!T62</f>
        <v>0</v>
      </c>
    </row>
    <row r="63" spans="4:22">
      <c r="D63" s="84" t="str">
        <f>IF(MSSリスト!B63&lt;&gt;"",HYPERLINK("https://nextoffice.next-hd.co.jp/pleasanter/items/"&amp;MSSリスト!B63&amp;"/edit","開く"),"")</f>
        <v/>
      </c>
      <c r="E63" s="76" t="str">
        <f>_xlfn.IFNA(VLOOKUP(MSSリスト!C63,ステータス一覧[],MATCH("ステータス",ステータス一覧[#Headers],0),FALSE),"")</f>
        <v/>
      </c>
      <c r="F63" s="75">
        <f>MSSリスト!D63</f>
        <v>0</v>
      </c>
      <c r="G63" s="76" t="str">
        <f>_xlfn.IFNA(VLOOKUP(MSSリスト!E63,シート分類一覧[],MATCH("種別",シート分類一覧[#Headers],0),FALSE),"")</f>
        <v/>
      </c>
      <c r="H63" s="74" t="str">
        <f>_xlfn.IFNA(VLOOKUP(MSSリスト!F63,営業所リスト[],MATCH("店舗名",営業所リスト[#Headers],0),FALSE),"")</f>
        <v/>
      </c>
      <c r="I63" s="74" t="str">
        <f>_xlfn.IFNA(VLOOKUP(MSSリスト!G63,社員リスト[],MATCH("名前",社員リスト[#Headers],0),FALSE),"")</f>
        <v/>
      </c>
      <c r="J63" s="74" t="str">
        <f>_xlfn.IFNA(VLOOKUP(MSSリスト!H63,社員リスト[],MATCH("名前",社員リスト[#Headers],0),FALSE),"")</f>
        <v/>
      </c>
      <c r="K63" s="74" t="str">
        <f>_xlfn.IFNA(VLOOKUP(MSSリスト!I63,社員リスト[],MATCH("名前",社員リスト[#Headers],0),FALSE),"")</f>
        <v/>
      </c>
      <c r="L63" s="74" t="str">
        <f>_xlfn.IFNA(VLOOKUP(MSSリスト!J63,社員リスト[],MATCH("名前",社員リスト[#Headers],0),FALSE),"")</f>
        <v/>
      </c>
      <c r="M63" s="526">
        <f>MSSリスト!K63</f>
        <v>0</v>
      </c>
      <c r="N63" s="76" t="str">
        <f>IF(MSSリスト!L63="","",_xlfn.IFNA(VLOOKUP(MSSリスト!L63,設計契約リスト[],MATCH("設計契約",設計契約リスト[#Headers],0),FALSE),""))</f>
        <v/>
      </c>
      <c r="O63" s="74" t="str">
        <f>_xlfn.IFNA(VLOOKUP(MSSリスト!M63,契約ブランドリスト[],MATCH("ブランド",契約ブランドリスト[#Headers],0),FALSE),"")</f>
        <v/>
      </c>
      <c r="P63" s="74">
        <f>MSSリスト!N63</f>
        <v>0</v>
      </c>
      <c r="Q63" s="77">
        <f>MSSリスト!O63</f>
        <v>0</v>
      </c>
      <c r="R63" s="77">
        <f>MSSリスト!P63</f>
        <v>0</v>
      </c>
      <c r="S63" s="77">
        <f>MSSリスト!Q63</f>
        <v>0</v>
      </c>
      <c r="T63" s="77">
        <f>MSSリスト!R63</f>
        <v>0</v>
      </c>
      <c r="U63" s="77">
        <f>MSSリスト!S63</f>
        <v>0</v>
      </c>
      <c r="V63" s="78">
        <f>MSSリスト!T63</f>
        <v>0</v>
      </c>
    </row>
    <row r="64" spans="4:22">
      <c r="D64" s="84" t="str">
        <f>IF(MSSリスト!B64&lt;&gt;"",HYPERLINK("https://nextoffice.next-hd.co.jp/pleasanter/items/"&amp;MSSリスト!B64&amp;"/edit","開く"),"")</f>
        <v/>
      </c>
      <c r="E64" s="76" t="str">
        <f>_xlfn.IFNA(VLOOKUP(MSSリスト!C64,ステータス一覧[],MATCH("ステータス",ステータス一覧[#Headers],0),FALSE),"")</f>
        <v/>
      </c>
      <c r="F64" s="75">
        <f>MSSリスト!D64</f>
        <v>0</v>
      </c>
      <c r="G64" s="76" t="str">
        <f>_xlfn.IFNA(VLOOKUP(MSSリスト!E64,シート分類一覧[],MATCH("種別",シート分類一覧[#Headers],0),FALSE),"")</f>
        <v/>
      </c>
      <c r="H64" s="74" t="str">
        <f>_xlfn.IFNA(VLOOKUP(MSSリスト!F64,営業所リスト[],MATCH("店舗名",営業所リスト[#Headers],0),FALSE),"")</f>
        <v/>
      </c>
      <c r="I64" s="74" t="str">
        <f>_xlfn.IFNA(VLOOKUP(MSSリスト!G64,社員リスト[],MATCH("名前",社員リスト[#Headers],0),FALSE),"")</f>
        <v/>
      </c>
      <c r="J64" s="74" t="str">
        <f>_xlfn.IFNA(VLOOKUP(MSSリスト!H64,社員リスト[],MATCH("名前",社員リスト[#Headers],0),FALSE),"")</f>
        <v/>
      </c>
      <c r="K64" s="74" t="str">
        <f>_xlfn.IFNA(VLOOKUP(MSSリスト!I64,社員リスト[],MATCH("名前",社員リスト[#Headers],0),FALSE),"")</f>
        <v/>
      </c>
      <c r="L64" s="74" t="str">
        <f>_xlfn.IFNA(VLOOKUP(MSSリスト!J64,社員リスト[],MATCH("名前",社員リスト[#Headers],0),FALSE),"")</f>
        <v/>
      </c>
      <c r="M64" s="526">
        <f>MSSリスト!K64</f>
        <v>0</v>
      </c>
      <c r="N64" s="76" t="str">
        <f>IF(MSSリスト!L64="","",_xlfn.IFNA(VLOOKUP(MSSリスト!L64,設計契約リスト[],MATCH("設計契約",設計契約リスト[#Headers],0),FALSE),""))</f>
        <v/>
      </c>
      <c r="O64" s="74" t="str">
        <f>_xlfn.IFNA(VLOOKUP(MSSリスト!M64,契約ブランドリスト[],MATCH("ブランド",契約ブランドリスト[#Headers],0),FALSE),"")</f>
        <v/>
      </c>
      <c r="P64" s="74">
        <f>MSSリスト!N64</f>
        <v>0</v>
      </c>
      <c r="Q64" s="77">
        <f>MSSリスト!O64</f>
        <v>0</v>
      </c>
      <c r="R64" s="77">
        <f>MSSリスト!P64</f>
        <v>0</v>
      </c>
      <c r="S64" s="77">
        <f>MSSリスト!Q64</f>
        <v>0</v>
      </c>
      <c r="T64" s="77">
        <f>MSSリスト!R64</f>
        <v>0</v>
      </c>
      <c r="U64" s="77">
        <f>MSSリスト!S64</f>
        <v>0</v>
      </c>
      <c r="V64" s="78">
        <f>MSSリスト!T64</f>
        <v>0</v>
      </c>
    </row>
    <row r="65" spans="4:22">
      <c r="D65" s="84" t="str">
        <f>IF(MSSリスト!B65&lt;&gt;"",HYPERLINK("https://nextoffice.next-hd.co.jp/pleasanter/items/"&amp;MSSリスト!B65&amp;"/edit","開く"),"")</f>
        <v/>
      </c>
      <c r="E65" s="76" t="str">
        <f>_xlfn.IFNA(VLOOKUP(MSSリスト!C65,ステータス一覧[],MATCH("ステータス",ステータス一覧[#Headers],0),FALSE),"")</f>
        <v/>
      </c>
      <c r="F65" s="75">
        <f>MSSリスト!D65</f>
        <v>0</v>
      </c>
      <c r="G65" s="76" t="str">
        <f>_xlfn.IFNA(VLOOKUP(MSSリスト!E65,シート分類一覧[],MATCH("種別",シート分類一覧[#Headers],0),FALSE),"")</f>
        <v/>
      </c>
      <c r="H65" s="74" t="str">
        <f>_xlfn.IFNA(VLOOKUP(MSSリスト!F65,営業所リスト[],MATCH("店舗名",営業所リスト[#Headers],0),FALSE),"")</f>
        <v/>
      </c>
      <c r="I65" s="74" t="str">
        <f>_xlfn.IFNA(VLOOKUP(MSSリスト!G65,社員リスト[],MATCH("名前",社員リスト[#Headers],0),FALSE),"")</f>
        <v/>
      </c>
      <c r="J65" s="74" t="str">
        <f>_xlfn.IFNA(VLOOKUP(MSSリスト!H65,社員リスト[],MATCH("名前",社員リスト[#Headers],0),FALSE),"")</f>
        <v/>
      </c>
      <c r="K65" s="74" t="str">
        <f>_xlfn.IFNA(VLOOKUP(MSSリスト!I65,社員リスト[],MATCH("名前",社員リスト[#Headers],0),FALSE),"")</f>
        <v/>
      </c>
      <c r="L65" s="74" t="str">
        <f>_xlfn.IFNA(VLOOKUP(MSSリスト!J65,社員リスト[],MATCH("名前",社員リスト[#Headers],0),FALSE),"")</f>
        <v/>
      </c>
      <c r="M65" s="526">
        <f>MSSリスト!K65</f>
        <v>0</v>
      </c>
      <c r="N65" s="76" t="str">
        <f>IF(MSSリスト!L65="","",_xlfn.IFNA(VLOOKUP(MSSリスト!L65,設計契約リスト[],MATCH("設計契約",設計契約リスト[#Headers],0),FALSE),""))</f>
        <v/>
      </c>
      <c r="O65" s="74" t="str">
        <f>_xlfn.IFNA(VLOOKUP(MSSリスト!M65,契約ブランドリスト[],MATCH("ブランド",契約ブランドリスト[#Headers],0),FALSE),"")</f>
        <v/>
      </c>
      <c r="P65" s="74">
        <f>MSSリスト!N65</f>
        <v>0</v>
      </c>
      <c r="Q65" s="77">
        <f>MSSリスト!O65</f>
        <v>0</v>
      </c>
      <c r="R65" s="77">
        <f>MSSリスト!P65</f>
        <v>0</v>
      </c>
      <c r="S65" s="77">
        <f>MSSリスト!Q65</f>
        <v>0</v>
      </c>
      <c r="T65" s="77">
        <f>MSSリスト!R65</f>
        <v>0</v>
      </c>
      <c r="U65" s="77">
        <f>MSSリスト!S65</f>
        <v>0</v>
      </c>
      <c r="V65" s="78">
        <f>MSSリスト!T65</f>
        <v>0</v>
      </c>
    </row>
    <row r="66" spans="4:22">
      <c r="D66" s="84" t="str">
        <f>IF(MSSリスト!B66&lt;&gt;"",HYPERLINK("https://nextoffice.next-hd.co.jp/pleasanter/items/"&amp;MSSリスト!B66&amp;"/edit","開く"),"")</f>
        <v/>
      </c>
      <c r="E66" s="76" t="str">
        <f>_xlfn.IFNA(VLOOKUP(MSSリスト!C66,ステータス一覧[],MATCH("ステータス",ステータス一覧[#Headers],0),FALSE),"")</f>
        <v/>
      </c>
      <c r="F66" s="75">
        <f>MSSリスト!D66</f>
        <v>0</v>
      </c>
      <c r="G66" s="76" t="str">
        <f>_xlfn.IFNA(VLOOKUP(MSSリスト!E66,シート分類一覧[],MATCH("種別",シート分類一覧[#Headers],0),FALSE),"")</f>
        <v/>
      </c>
      <c r="H66" s="74" t="str">
        <f>_xlfn.IFNA(VLOOKUP(MSSリスト!F66,営業所リスト[],MATCH("店舗名",営業所リスト[#Headers],0),FALSE),"")</f>
        <v/>
      </c>
      <c r="I66" s="74" t="str">
        <f>_xlfn.IFNA(VLOOKUP(MSSリスト!G66,社員リスト[],MATCH("名前",社員リスト[#Headers],0),FALSE),"")</f>
        <v/>
      </c>
      <c r="J66" s="74" t="str">
        <f>_xlfn.IFNA(VLOOKUP(MSSリスト!H66,社員リスト[],MATCH("名前",社員リスト[#Headers],0),FALSE),"")</f>
        <v/>
      </c>
      <c r="K66" s="74" t="str">
        <f>_xlfn.IFNA(VLOOKUP(MSSリスト!I66,社員リスト[],MATCH("名前",社員リスト[#Headers],0),FALSE),"")</f>
        <v/>
      </c>
      <c r="L66" s="74" t="str">
        <f>_xlfn.IFNA(VLOOKUP(MSSリスト!J66,社員リスト[],MATCH("名前",社員リスト[#Headers],0),FALSE),"")</f>
        <v/>
      </c>
      <c r="M66" s="526">
        <f>MSSリスト!K66</f>
        <v>0</v>
      </c>
      <c r="N66" s="76" t="str">
        <f>IF(MSSリスト!L66="","",_xlfn.IFNA(VLOOKUP(MSSリスト!L66,設計契約リスト[],MATCH("設計契約",設計契約リスト[#Headers],0),FALSE),""))</f>
        <v/>
      </c>
      <c r="O66" s="74" t="str">
        <f>_xlfn.IFNA(VLOOKUP(MSSリスト!M66,契約ブランドリスト[],MATCH("ブランド",契約ブランドリスト[#Headers],0),FALSE),"")</f>
        <v/>
      </c>
      <c r="P66" s="74">
        <f>MSSリスト!N66</f>
        <v>0</v>
      </c>
      <c r="Q66" s="77">
        <f>MSSリスト!O66</f>
        <v>0</v>
      </c>
      <c r="R66" s="77">
        <f>MSSリスト!P66</f>
        <v>0</v>
      </c>
      <c r="S66" s="77">
        <f>MSSリスト!Q66</f>
        <v>0</v>
      </c>
      <c r="T66" s="77">
        <f>MSSリスト!R66</f>
        <v>0</v>
      </c>
      <c r="U66" s="77">
        <f>MSSリスト!S66</f>
        <v>0</v>
      </c>
      <c r="V66" s="78">
        <f>MSSリスト!T66</f>
        <v>0</v>
      </c>
    </row>
    <row r="67" spans="4:22">
      <c r="D67" s="84" t="str">
        <f>IF(MSSリスト!B67&lt;&gt;"",HYPERLINK("https://nextoffice.next-hd.co.jp/pleasanter/items/"&amp;MSSリスト!B67&amp;"/edit","開く"),"")</f>
        <v/>
      </c>
      <c r="E67" s="76" t="str">
        <f>_xlfn.IFNA(VLOOKUP(MSSリスト!C67,ステータス一覧[],MATCH("ステータス",ステータス一覧[#Headers],0),FALSE),"")</f>
        <v/>
      </c>
      <c r="F67" s="75">
        <f>MSSリスト!D67</f>
        <v>0</v>
      </c>
      <c r="G67" s="76" t="str">
        <f>_xlfn.IFNA(VLOOKUP(MSSリスト!E67,シート分類一覧[],MATCH("種別",シート分類一覧[#Headers],0),FALSE),"")</f>
        <v/>
      </c>
      <c r="H67" s="74" t="str">
        <f>_xlfn.IFNA(VLOOKUP(MSSリスト!F67,営業所リスト[],MATCH("店舗名",営業所リスト[#Headers],0),FALSE),"")</f>
        <v/>
      </c>
      <c r="I67" s="74" t="str">
        <f>_xlfn.IFNA(VLOOKUP(MSSリスト!G67,社員リスト[],MATCH("名前",社員リスト[#Headers],0),FALSE),"")</f>
        <v/>
      </c>
      <c r="J67" s="74" t="str">
        <f>_xlfn.IFNA(VLOOKUP(MSSリスト!H67,社員リスト[],MATCH("名前",社員リスト[#Headers],0),FALSE),"")</f>
        <v/>
      </c>
      <c r="K67" s="74" t="str">
        <f>_xlfn.IFNA(VLOOKUP(MSSリスト!I67,社員リスト[],MATCH("名前",社員リスト[#Headers],0),FALSE),"")</f>
        <v/>
      </c>
      <c r="L67" s="74" t="str">
        <f>_xlfn.IFNA(VLOOKUP(MSSリスト!J67,社員リスト[],MATCH("名前",社員リスト[#Headers],0),FALSE),"")</f>
        <v/>
      </c>
      <c r="M67" s="526">
        <f>MSSリスト!K67</f>
        <v>0</v>
      </c>
      <c r="N67" s="76" t="str">
        <f>IF(MSSリスト!L67="","",_xlfn.IFNA(VLOOKUP(MSSリスト!L67,設計契約リスト[],MATCH("設計契約",設計契約リスト[#Headers],0),FALSE),""))</f>
        <v/>
      </c>
      <c r="O67" s="74" t="str">
        <f>_xlfn.IFNA(VLOOKUP(MSSリスト!M67,契約ブランドリスト[],MATCH("ブランド",契約ブランドリスト[#Headers],0),FALSE),"")</f>
        <v/>
      </c>
      <c r="P67" s="74">
        <f>MSSリスト!N67</f>
        <v>0</v>
      </c>
      <c r="Q67" s="77">
        <f>MSSリスト!O67</f>
        <v>0</v>
      </c>
      <c r="R67" s="77">
        <f>MSSリスト!P67</f>
        <v>0</v>
      </c>
      <c r="S67" s="77">
        <f>MSSリスト!Q67</f>
        <v>0</v>
      </c>
      <c r="T67" s="77">
        <f>MSSリスト!R67</f>
        <v>0</v>
      </c>
      <c r="U67" s="77">
        <f>MSSリスト!S67</f>
        <v>0</v>
      </c>
      <c r="V67" s="78">
        <f>MSSリスト!T67</f>
        <v>0</v>
      </c>
    </row>
    <row r="68" spans="4:22">
      <c r="D68" s="84" t="str">
        <f>IF(MSSリスト!B68&lt;&gt;"",HYPERLINK("https://nextoffice.next-hd.co.jp/pleasanter/items/"&amp;MSSリスト!B68&amp;"/edit","開く"),"")</f>
        <v/>
      </c>
      <c r="E68" s="76" t="str">
        <f>_xlfn.IFNA(VLOOKUP(MSSリスト!C68,ステータス一覧[],MATCH("ステータス",ステータス一覧[#Headers],0),FALSE),"")</f>
        <v/>
      </c>
      <c r="F68" s="75">
        <f>MSSリスト!D68</f>
        <v>0</v>
      </c>
      <c r="G68" s="76" t="str">
        <f>_xlfn.IFNA(VLOOKUP(MSSリスト!E68,シート分類一覧[],MATCH("種別",シート分類一覧[#Headers],0),FALSE),"")</f>
        <v/>
      </c>
      <c r="H68" s="74" t="str">
        <f>_xlfn.IFNA(VLOOKUP(MSSリスト!F68,営業所リスト[],MATCH("店舗名",営業所リスト[#Headers],0),FALSE),"")</f>
        <v/>
      </c>
      <c r="I68" s="74" t="str">
        <f>_xlfn.IFNA(VLOOKUP(MSSリスト!G68,社員リスト[],MATCH("名前",社員リスト[#Headers],0),FALSE),"")</f>
        <v/>
      </c>
      <c r="J68" s="74" t="str">
        <f>_xlfn.IFNA(VLOOKUP(MSSリスト!H68,社員リスト[],MATCH("名前",社員リスト[#Headers],0),FALSE),"")</f>
        <v/>
      </c>
      <c r="K68" s="74" t="str">
        <f>_xlfn.IFNA(VLOOKUP(MSSリスト!I68,社員リスト[],MATCH("名前",社員リスト[#Headers],0),FALSE),"")</f>
        <v/>
      </c>
      <c r="L68" s="74" t="str">
        <f>_xlfn.IFNA(VLOOKUP(MSSリスト!J68,社員リスト[],MATCH("名前",社員リスト[#Headers],0),FALSE),"")</f>
        <v/>
      </c>
      <c r="M68" s="526">
        <f>MSSリスト!K68</f>
        <v>0</v>
      </c>
      <c r="N68" s="76" t="str">
        <f>IF(MSSリスト!L68="","",_xlfn.IFNA(VLOOKUP(MSSリスト!L68,設計契約リスト[],MATCH("設計契約",設計契約リスト[#Headers],0),FALSE),""))</f>
        <v/>
      </c>
      <c r="O68" s="74" t="str">
        <f>_xlfn.IFNA(VLOOKUP(MSSリスト!M68,契約ブランドリスト[],MATCH("ブランド",契約ブランドリスト[#Headers],0),FALSE),"")</f>
        <v/>
      </c>
      <c r="P68" s="74">
        <f>MSSリスト!N68</f>
        <v>0</v>
      </c>
      <c r="Q68" s="77">
        <f>MSSリスト!O68</f>
        <v>0</v>
      </c>
      <c r="R68" s="77">
        <f>MSSリスト!P68</f>
        <v>0</v>
      </c>
      <c r="S68" s="77">
        <f>MSSリスト!Q68</f>
        <v>0</v>
      </c>
      <c r="T68" s="77">
        <f>MSSリスト!R68</f>
        <v>0</v>
      </c>
      <c r="U68" s="77">
        <f>MSSリスト!S68</f>
        <v>0</v>
      </c>
      <c r="V68" s="78">
        <f>MSSリスト!T68</f>
        <v>0</v>
      </c>
    </row>
    <row r="69" spans="4:22">
      <c r="D69" s="84" t="str">
        <f>IF(MSSリスト!B69&lt;&gt;"",HYPERLINK("https://nextoffice.next-hd.co.jp/pleasanter/items/"&amp;MSSリスト!B69&amp;"/edit","開く"),"")</f>
        <v/>
      </c>
      <c r="E69" s="76" t="str">
        <f>_xlfn.IFNA(VLOOKUP(MSSリスト!C69,ステータス一覧[],MATCH("ステータス",ステータス一覧[#Headers],0),FALSE),"")</f>
        <v/>
      </c>
      <c r="F69" s="75">
        <f>MSSリスト!D69</f>
        <v>0</v>
      </c>
      <c r="G69" s="76" t="str">
        <f>_xlfn.IFNA(VLOOKUP(MSSリスト!E69,シート分類一覧[],MATCH("種別",シート分類一覧[#Headers],0),FALSE),"")</f>
        <v/>
      </c>
      <c r="H69" s="74" t="str">
        <f>_xlfn.IFNA(VLOOKUP(MSSリスト!F69,営業所リスト[],MATCH("店舗名",営業所リスト[#Headers],0),FALSE),"")</f>
        <v/>
      </c>
      <c r="I69" s="74" t="str">
        <f>_xlfn.IFNA(VLOOKUP(MSSリスト!G69,社員リスト[],MATCH("名前",社員リスト[#Headers],0),FALSE),"")</f>
        <v/>
      </c>
      <c r="J69" s="74" t="str">
        <f>_xlfn.IFNA(VLOOKUP(MSSリスト!H69,社員リスト[],MATCH("名前",社員リスト[#Headers],0),FALSE),"")</f>
        <v/>
      </c>
      <c r="K69" s="74" t="str">
        <f>_xlfn.IFNA(VLOOKUP(MSSリスト!I69,社員リスト[],MATCH("名前",社員リスト[#Headers],0),FALSE),"")</f>
        <v/>
      </c>
      <c r="L69" s="74" t="str">
        <f>_xlfn.IFNA(VLOOKUP(MSSリスト!J69,社員リスト[],MATCH("名前",社員リスト[#Headers],0),FALSE),"")</f>
        <v/>
      </c>
      <c r="M69" s="526">
        <f>MSSリスト!K69</f>
        <v>0</v>
      </c>
      <c r="N69" s="76" t="str">
        <f>IF(MSSリスト!L69="","",_xlfn.IFNA(VLOOKUP(MSSリスト!L69,設計契約リスト[],MATCH("設計契約",設計契約リスト[#Headers],0),FALSE),""))</f>
        <v/>
      </c>
      <c r="O69" s="74" t="str">
        <f>_xlfn.IFNA(VLOOKUP(MSSリスト!M69,契約ブランドリスト[],MATCH("ブランド",契約ブランドリスト[#Headers],0),FALSE),"")</f>
        <v/>
      </c>
      <c r="P69" s="74">
        <f>MSSリスト!N69</f>
        <v>0</v>
      </c>
      <c r="Q69" s="77">
        <f>MSSリスト!O69</f>
        <v>0</v>
      </c>
      <c r="R69" s="77">
        <f>MSSリスト!P69</f>
        <v>0</v>
      </c>
      <c r="S69" s="77">
        <f>MSSリスト!Q69</f>
        <v>0</v>
      </c>
      <c r="T69" s="77">
        <f>MSSリスト!R69</f>
        <v>0</v>
      </c>
      <c r="U69" s="77">
        <f>MSSリスト!S69</f>
        <v>0</v>
      </c>
      <c r="V69" s="78">
        <f>MSSリスト!T69</f>
        <v>0</v>
      </c>
    </row>
    <row r="70" spans="4:22">
      <c r="D70" s="84" t="str">
        <f>IF(MSSリスト!B70&lt;&gt;"",HYPERLINK("https://nextoffice.next-hd.co.jp/pleasanter/items/"&amp;MSSリスト!B70&amp;"/edit","開く"),"")</f>
        <v/>
      </c>
      <c r="E70" s="76" t="str">
        <f>_xlfn.IFNA(VLOOKUP(MSSリスト!C70,ステータス一覧[],MATCH("ステータス",ステータス一覧[#Headers],0),FALSE),"")</f>
        <v/>
      </c>
      <c r="F70" s="75">
        <f>MSSリスト!D70</f>
        <v>0</v>
      </c>
      <c r="G70" s="76" t="str">
        <f>_xlfn.IFNA(VLOOKUP(MSSリスト!E70,シート分類一覧[],MATCH("種別",シート分類一覧[#Headers],0),FALSE),"")</f>
        <v/>
      </c>
      <c r="H70" s="74" t="str">
        <f>_xlfn.IFNA(VLOOKUP(MSSリスト!F70,営業所リスト[],MATCH("店舗名",営業所リスト[#Headers],0),FALSE),"")</f>
        <v/>
      </c>
      <c r="I70" s="74" t="str">
        <f>_xlfn.IFNA(VLOOKUP(MSSリスト!G70,社員リスト[],MATCH("名前",社員リスト[#Headers],0),FALSE),"")</f>
        <v/>
      </c>
      <c r="J70" s="74" t="str">
        <f>_xlfn.IFNA(VLOOKUP(MSSリスト!H70,社員リスト[],MATCH("名前",社員リスト[#Headers],0),FALSE),"")</f>
        <v/>
      </c>
      <c r="K70" s="74" t="str">
        <f>_xlfn.IFNA(VLOOKUP(MSSリスト!I70,社員リスト[],MATCH("名前",社員リスト[#Headers],0),FALSE),"")</f>
        <v/>
      </c>
      <c r="L70" s="74" t="str">
        <f>_xlfn.IFNA(VLOOKUP(MSSリスト!J70,社員リスト[],MATCH("名前",社員リスト[#Headers],0),FALSE),"")</f>
        <v/>
      </c>
      <c r="M70" s="526">
        <f>MSSリスト!K70</f>
        <v>0</v>
      </c>
      <c r="N70" s="76" t="str">
        <f>IF(MSSリスト!L70="","",_xlfn.IFNA(VLOOKUP(MSSリスト!L70,設計契約リスト[],MATCH("設計契約",設計契約リスト[#Headers],0),FALSE),""))</f>
        <v/>
      </c>
      <c r="O70" s="74" t="str">
        <f>_xlfn.IFNA(VLOOKUP(MSSリスト!M70,契約ブランドリスト[],MATCH("ブランド",契約ブランドリスト[#Headers],0),FALSE),"")</f>
        <v/>
      </c>
      <c r="P70" s="74">
        <f>MSSリスト!N70</f>
        <v>0</v>
      </c>
      <c r="Q70" s="77">
        <f>MSSリスト!O70</f>
        <v>0</v>
      </c>
      <c r="R70" s="77">
        <f>MSSリスト!P70</f>
        <v>0</v>
      </c>
      <c r="S70" s="77">
        <f>MSSリスト!Q70</f>
        <v>0</v>
      </c>
      <c r="T70" s="77">
        <f>MSSリスト!R70</f>
        <v>0</v>
      </c>
      <c r="U70" s="77">
        <f>MSSリスト!S70</f>
        <v>0</v>
      </c>
      <c r="V70" s="78">
        <f>MSSリスト!T70</f>
        <v>0</v>
      </c>
    </row>
    <row r="71" spans="4:22">
      <c r="D71" s="84" t="str">
        <f>IF(MSSリスト!B71&lt;&gt;"",HYPERLINK("https://nextoffice.next-hd.co.jp/pleasanter/items/"&amp;MSSリスト!B71&amp;"/edit","開く"),"")</f>
        <v/>
      </c>
      <c r="E71" s="76" t="str">
        <f>_xlfn.IFNA(VLOOKUP(MSSリスト!C71,ステータス一覧[],MATCH("ステータス",ステータス一覧[#Headers],0),FALSE),"")</f>
        <v/>
      </c>
      <c r="F71" s="75">
        <f>MSSリスト!D71</f>
        <v>0</v>
      </c>
      <c r="G71" s="76" t="str">
        <f>_xlfn.IFNA(VLOOKUP(MSSリスト!E71,シート分類一覧[],MATCH("種別",シート分類一覧[#Headers],0),FALSE),"")</f>
        <v/>
      </c>
      <c r="H71" s="74" t="str">
        <f>_xlfn.IFNA(VLOOKUP(MSSリスト!F71,営業所リスト[],MATCH("店舗名",営業所リスト[#Headers],0),FALSE),"")</f>
        <v/>
      </c>
      <c r="I71" s="74" t="str">
        <f>_xlfn.IFNA(VLOOKUP(MSSリスト!G71,社員リスト[],MATCH("名前",社員リスト[#Headers],0),FALSE),"")</f>
        <v/>
      </c>
      <c r="J71" s="74" t="str">
        <f>_xlfn.IFNA(VLOOKUP(MSSリスト!H71,社員リスト[],MATCH("名前",社員リスト[#Headers],0),FALSE),"")</f>
        <v/>
      </c>
      <c r="K71" s="74" t="str">
        <f>_xlfn.IFNA(VLOOKUP(MSSリスト!I71,社員リスト[],MATCH("名前",社員リスト[#Headers],0),FALSE),"")</f>
        <v/>
      </c>
      <c r="L71" s="74" t="str">
        <f>_xlfn.IFNA(VLOOKUP(MSSリスト!J71,社員リスト[],MATCH("名前",社員リスト[#Headers],0),FALSE),"")</f>
        <v/>
      </c>
      <c r="M71" s="526">
        <f>MSSリスト!K71</f>
        <v>0</v>
      </c>
      <c r="N71" s="76" t="str">
        <f>IF(MSSリスト!L71="","",_xlfn.IFNA(VLOOKUP(MSSリスト!L71,設計契約リスト[],MATCH("設計契約",設計契約リスト[#Headers],0),FALSE),""))</f>
        <v/>
      </c>
      <c r="O71" s="74" t="str">
        <f>_xlfn.IFNA(VLOOKUP(MSSリスト!M71,契約ブランドリスト[],MATCH("ブランド",契約ブランドリスト[#Headers],0),FALSE),"")</f>
        <v/>
      </c>
      <c r="P71" s="74">
        <f>MSSリスト!N71</f>
        <v>0</v>
      </c>
      <c r="Q71" s="77">
        <f>MSSリスト!O71</f>
        <v>0</v>
      </c>
      <c r="R71" s="77">
        <f>MSSリスト!P71</f>
        <v>0</v>
      </c>
      <c r="S71" s="77">
        <f>MSSリスト!Q71</f>
        <v>0</v>
      </c>
      <c r="T71" s="77">
        <f>MSSリスト!R71</f>
        <v>0</v>
      </c>
      <c r="U71" s="77">
        <f>MSSリスト!S71</f>
        <v>0</v>
      </c>
      <c r="V71" s="78">
        <f>MSSリスト!T71</f>
        <v>0</v>
      </c>
    </row>
    <row r="72" spans="4:22">
      <c r="D72" s="84" t="str">
        <f>IF(MSSリスト!B72&lt;&gt;"",HYPERLINK("https://nextoffice.next-hd.co.jp/pleasanter/items/"&amp;MSSリスト!B72&amp;"/edit","開く"),"")</f>
        <v/>
      </c>
      <c r="E72" s="76" t="str">
        <f>_xlfn.IFNA(VLOOKUP(MSSリスト!C72,ステータス一覧[],MATCH("ステータス",ステータス一覧[#Headers],0),FALSE),"")</f>
        <v/>
      </c>
      <c r="F72" s="75">
        <f>MSSリスト!D72</f>
        <v>0</v>
      </c>
      <c r="G72" s="76" t="str">
        <f>_xlfn.IFNA(VLOOKUP(MSSリスト!E72,シート分類一覧[],MATCH("種別",シート分類一覧[#Headers],0),FALSE),"")</f>
        <v/>
      </c>
      <c r="H72" s="74" t="str">
        <f>_xlfn.IFNA(VLOOKUP(MSSリスト!F72,営業所リスト[],MATCH("店舗名",営業所リスト[#Headers],0),FALSE),"")</f>
        <v/>
      </c>
      <c r="I72" s="74" t="str">
        <f>_xlfn.IFNA(VLOOKUP(MSSリスト!G72,社員リスト[],MATCH("名前",社員リスト[#Headers],0),FALSE),"")</f>
        <v/>
      </c>
      <c r="J72" s="74" t="str">
        <f>_xlfn.IFNA(VLOOKUP(MSSリスト!H72,社員リスト[],MATCH("名前",社員リスト[#Headers],0),FALSE),"")</f>
        <v/>
      </c>
      <c r="K72" s="74" t="str">
        <f>_xlfn.IFNA(VLOOKUP(MSSリスト!I72,社員リスト[],MATCH("名前",社員リスト[#Headers],0),FALSE),"")</f>
        <v/>
      </c>
      <c r="L72" s="74" t="str">
        <f>_xlfn.IFNA(VLOOKUP(MSSリスト!J72,社員リスト[],MATCH("名前",社員リスト[#Headers],0),FALSE),"")</f>
        <v/>
      </c>
      <c r="M72" s="526">
        <f>MSSリスト!K72</f>
        <v>0</v>
      </c>
      <c r="N72" s="76" t="str">
        <f>IF(MSSリスト!L72="","",_xlfn.IFNA(VLOOKUP(MSSリスト!L72,設計契約リスト[],MATCH("設計契約",設計契約リスト[#Headers],0),FALSE),""))</f>
        <v/>
      </c>
      <c r="O72" s="74" t="str">
        <f>_xlfn.IFNA(VLOOKUP(MSSリスト!M72,契約ブランドリスト[],MATCH("ブランド",契約ブランドリスト[#Headers],0),FALSE),"")</f>
        <v/>
      </c>
      <c r="P72" s="74">
        <f>MSSリスト!N72</f>
        <v>0</v>
      </c>
      <c r="Q72" s="77">
        <f>MSSリスト!O72</f>
        <v>0</v>
      </c>
      <c r="R72" s="77">
        <f>MSSリスト!P72</f>
        <v>0</v>
      </c>
      <c r="S72" s="77">
        <f>MSSリスト!Q72</f>
        <v>0</v>
      </c>
      <c r="T72" s="77">
        <f>MSSリスト!R72</f>
        <v>0</v>
      </c>
      <c r="U72" s="77">
        <f>MSSリスト!S72</f>
        <v>0</v>
      </c>
      <c r="V72" s="78">
        <f>MSSリスト!T72</f>
        <v>0</v>
      </c>
    </row>
    <row r="73" spans="4:22">
      <c r="D73" s="84" t="str">
        <f>IF(MSSリスト!B73&lt;&gt;"",HYPERLINK("https://nextoffice.next-hd.co.jp/pleasanter/items/"&amp;MSSリスト!B73&amp;"/edit","開く"),"")</f>
        <v/>
      </c>
      <c r="E73" s="76" t="str">
        <f>_xlfn.IFNA(VLOOKUP(MSSリスト!C73,ステータス一覧[],MATCH("ステータス",ステータス一覧[#Headers],0),FALSE),"")</f>
        <v/>
      </c>
      <c r="F73" s="75">
        <f>MSSリスト!D73</f>
        <v>0</v>
      </c>
      <c r="G73" s="76" t="str">
        <f>_xlfn.IFNA(VLOOKUP(MSSリスト!E73,シート分類一覧[],MATCH("種別",シート分類一覧[#Headers],0),FALSE),"")</f>
        <v/>
      </c>
      <c r="H73" s="74" t="str">
        <f>_xlfn.IFNA(VLOOKUP(MSSリスト!F73,営業所リスト[],MATCH("店舗名",営業所リスト[#Headers],0),FALSE),"")</f>
        <v/>
      </c>
      <c r="I73" s="74" t="str">
        <f>_xlfn.IFNA(VLOOKUP(MSSリスト!G73,社員リスト[],MATCH("名前",社員リスト[#Headers],0),FALSE),"")</f>
        <v/>
      </c>
      <c r="J73" s="74" t="str">
        <f>_xlfn.IFNA(VLOOKUP(MSSリスト!H73,社員リスト[],MATCH("名前",社員リスト[#Headers],0),FALSE),"")</f>
        <v/>
      </c>
      <c r="K73" s="74" t="str">
        <f>_xlfn.IFNA(VLOOKUP(MSSリスト!I73,社員リスト[],MATCH("名前",社員リスト[#Headers],0),FALSE),"")</f>
        <v/>
      </c>
      <c r="L73" s="74" t="str">
        <f>_xlfn.IFNA(VLOOKUP(MSSリスト!J73,社員リスト[],MATCH("名前",社員リスト[#Headers],0),FALSE),"")</f>
        <v/>
      </c>
      <c r="M73" s="526">
        <f>MSSリスト!K73</f>
        <v>0</v>
      </c>
      <c r="N73" s="76" t="str">
        <f>IF(MSSリスト!L73="","",_xlfn.IFNA(VLOOKUP(MSSリスト!L73,設計契約リスト[],MATCH("設計契約",設計契約リスト[#Headers],0),FALSE),""))</f>
        <v/>
      </c>
      <c r="O73" s="74" t="str">
        <f>_xlfn.IFNA(VLOOKUP(MSSリスト!M73,契約ブランドリスト[],MATCH("ブランド",契約ブランドリスト[#Headers],0),FALSE),"")</f>
        <v/>
      </c>
      <c r="P73" s="74">
        <f>MSSリスト!N73</f>
        <v>0</v>
      </c>
      <c r="Q73" s="77">
        <f>MSSリスト!O73</f>
        <v>0</v>
      </c>
      <c r="R73" s="77">
        <f>MSSリスト!P73</f>
        <v>0</v>
      </c>
      <c r="S73" s="77">
        <f>MSSリスト!Q73</f>
        <v>0</v>
      </c>
      <c r="T73" s="77">
        <f>MSSリスト!R73</f>
        <v>0</v>
      </c>
      <c r="U73" s="77">
        <f>MSSリスト!S73</f>
        <v>0</v>
      </c>
      <c r="V73" s="78">
        <f>MSSリスト!T73</f>
        <v>0</v>
      </c>
    </row>
    <row r="74" spans="4:22">
      <c r="D74" s="84" t="str">
        <f>IF(MSSリスト!B74&lt;&gt;"",HYPERLINK("https://nextoffice.next-hd.co.jp/pleasanter/items/"&amp;MSSリスト!B74&amp;"/edit","開く"),"")</f>
        <v/>
      </c>
      <c r="E74" s="76" t="str">
        <f>_xlfn.IFNA(VLOOKUP(MSSリスト!C74,ステータス一覧[],MATCH("ステータス",ステータス一覧[#Headers],0),FALSE),"")</f>
        <v/>
      </c>
      <c r="F74" s="75">
        <f>MSSリスト!D74</f>
        <v>0</v>
      </c>
      <c r="G74" s="76" t="str">
        <f>_xlfn.IFNA(VLOOKUP(MSSリスト!E74,シート分類一覧[],MATCH("種別",シート分類一覧[#Headers],0),FALSE),"")</f>
        <v/>
      </c>
      <c r="H74" s="74" t="str">
        <f>_xlfn.IFNA(VLOOKUP(MSSリスト!F74,営業所リスト[],MATCH("店舗名",営業所リスト[#Headers],0),FALSE),"")</f>
        <v/>
      </c>
      <c r="I74" s="74" t="str">
        <f>_xlfn.IFNA(VLOOKUP(MSSリスト!G74,社員リスト[],MATCH("名前",社員リスト[#Headers],0),FALSE),"")</f>
        <v/>
      </c>
      <c r="J74" s="74" t="str">
        <f>_xlfn.IFNA(VLOOKUP(MSSリスト!H74,社員リスト[],MATCH("名前",社員リスト[#Headers],0),FALSE),"")</f>
        <v/>
      </c>
      <c r="K74" s="74" t="str">
        <f>_xlfn.IFNA(VLOOKUP(MSSリスト!I74,社員リスト[],MATCH("名前",社員リスト[#Headers],0),FALSE),"")</f>
        <v/>
      </c>
      <c r="L74" s="74" t="str">
        <f>_xlfn.IFNA(VLOOKUP(MSSリスト!J74,社員リスト[],MATCH("名前",社員リスト[#Headers],0),FALSE),"")</f>
        <v/>
      </c>
      <c r="M74" s="526">
        <f>MSSリスト!K74</f>
        <v>0</v>
      </c>
      <c r="N74" s="76" t="str">
        <f>IF(MSSリスト!L74="","",_xlfn.IFNA(VLOOKUP(MSSリスト!L74,設計契約リスト[],MATCH("設計契約",設計契約リスト[#Headers],0),FALSE),""))</f>
        <v/>
      </c>
      <c r="O74" s="74" t="str">
        <f>_xlfn.IFNA(VLOOKUP(MSSリスト!M74,契約ブランドリスト[],MATCH("ブランド",契約ブランドリスト[#Headers],0),FALSE),"")</f>
        <v/>
      </c>
      <c r="P74" s="74">
        <f>MSSリスト!N74</f>
        <v>0</v>
      </c>
      <c r="Q74" s="77">
        <f>MSSリスト!O74</f>
        <v>0</v>
      </c>
      <c r="R74" s="77">
        <f>MSSリスト!P74</f>
        <v>0</v>
      </c>
      <c r="S74" s="77">
        <f>MSSリスト!Q74</f>
        <v>0</v>
      </c>
      <c r="T74" s="77">
        <f>MSSリスト!R74</f>
        <v>0</v>
      </c>
      <c r="U74" s="77">
        <f>MSSリスト!S74</f>
        <v>0</v>
      </c>
      <c r="V74" s="78">
        <f>MSSリスト!T74</f>
        <v>0</v>
      </c>
    </row>
    <row r="75" spans="4:22">
      <c r="D75" s="84" t="str">
        <f>IF(MSSリスト!B75&lt;&gt;"",HYPERLINK("https://nextoffice.next-hd.co.jp/pleasanter/items/"&amp;MSSリスト!B75&amp;"/edit","開く"),"")</f>
        <v/>
      </c>
      <c r="E75" s="76" t="str">
        <f>_xlfn.IFNA(VLOOKUP(MSSリスト!C75,ステータス一覧[],MATCH("ステータス",ステータス一覧[#Headers],0),FALSE),"")</f>
        <v/>
      </c>
      <c r="F75" s="75">
        <f>MSSリスト!D75</f>
        <v>0</v>
      </c>
      <c r="G75" s="76" t="str">
        <f>_xlfn.IFNA(VLOOKUP(MSSリスト!E75,シート分類一覧[],MATCH("種別",シート分類一覧[#Headers],0),FALSE),"")</f>
        <v/>
      </c>
      <c r="H75" s="74" t="str">
        <f>_xlfn.IFNA(VLOOKUP(MSSリスト!F75,営業所リスト[],MATCH("店舗名",営業所リスト[#Headers],0),FALSE),"")</f>
        <v/>
      </c>
      <c r="I75" s="74" t="str">
        <f>_xlfn.IFNA(VLOOKUP(MSSリスト!G75,社員リスト[],MATCH("名前",社員リスト[#Headers],0),FALSE),"")</f>
        <v/>
      </c>
      <c r="J75" s="74" t="str">
        <f>_xlfn.IFNA(VLOOKUP(MSSリスト!H75,社員リスト[],MATCH("名前",社員リスト[#Headers],0),FALSE),"")</f>
        <v/>
      </c>
      <c r="K75" s="74" t="str">
        <f>_xlfn.IFNA(VLOOKUP(MSSリスト!I75,社員リスト[],MATCH("名前",社員リスト[#Headers],0),FALSE),"")</f>
        <v/>
      </c>
      <c r="L75" s="74" t="str">
        <f>_xlfn.IFNA(VLOOKUP(MSSリスト!J75,社員リスト[],MATCH("名前",社員リスト[#Headers],0),FALSE),"")</f>
        <v/>
      </c>
      <c r="M75" s="526">
        <f>MSSリスト!K75</f>
        <v>0</v>
      </c>
      <c r="N75" s="76" t="str">
        <f>IF(MSSリスト!L75="","",_xlfn.IFNA(VLOOKUP(MSSリスト!L75,設計契約リスト[],MATCH("設計契約",設計契約リスト[#Headers],0),FALSE),""))</f>
        <v/>
      </c>
      <c r="O75" s="74" t="str">
        <f>_xlfn.IFNA(VLOOKUP(MSSリスト!M75,契約ブランドリスト[],MATCH("ブランド",契約ブランドリスト[#Headers],0),FALSE),"")</f>
        <v/>
      </c>
      <c r="P75" s="74">
        <f>MSSリスト!N75</f>
        <v>0</v>
      </c>
      <c r="Q75" s="77">
        <f>MSSリスト!O75</f>
        <v>0</v>
      </c>
      <c r="R75" s="77">
        <f>MSSリスト!P75</f>
        <v>0</v>
      </c>
      <c r="S75" s="77">
        <f>MSSリスト!Q75</f>
        <v>0</v>
      </c>
      <c r="T75" s="77">
        <f>MSSリスト!R75</f>
        <v>0</v>
      </c>
      <c r="U75" s="77">
        <f>MSSリスト!S75</f>
        <v>0</v>
      </c>
      <c r="V75" s="78">
        <f>MSSリスト!T75</f>
        <v>0</v>
      </c>
    </row>
    <row r="76" spans="4:22">
      <c r="D76" s="84" t="str">
        <f>IF(MSSリスト!B76&lt;&gt;"",HYPERLINK("https://nextoffice.next-hd.co.jp/pleasanter/items/"&amp;MSSリスト!B76&amp;"/edit","開く"),"")</f>
        <v/>
      </c>
      <c r="E76" s="76" t="str">
        <f>_xlfn.IFNA(VLOOKUP(MSSリスト!C76,ステータス一覧[],MATCH("ステータス",ステータス一覧[#Headers],0),FALSE),"")</f>
        <v/>
      </c>
      <c r="F76" s="75">
        <f>MSSリスト!D76</f>
        <v>0</v>
      </c>
      <c r="G76" s="76" t="str">
        <f>_xlfn.IFNA(VLOOKUP(MSSリスト!E76,シート分類一覧[],MATCH("種別",シート分類一覧[#Headers],0),FALSE),"")</f>
        <v/>
      </c>
      <c r="H76" s="74" t="str">
        <f>_xlfn.IFNA(VLOOKUP(MSSリスト!F76,営業所リスト[],MATCH("店舗名",営業所リスト[#Headers],0),FALSE),"")</f>
        <v/>
      </c>
      <c r="I76" s="74" t="str">
        <f>_xlfn.IFNA(VLOOKUP(MSSリスト!G76,社員リスト[],MATCH("名前",社員リスト[#Headers],0),FALSE),"")</f>
        <v/>
      </c>
      <c r="J76" s="74" t="str">
        <f>_xlfn.IFNA(VLOOKUP(MSSリスト!H76,社員リスト[],MATCH("名前",社員リスト[#Headers],0),FALSE),"")</f>
        <v/>
      </c>
      <c r="K76" s="74" t="str">
        <f>_xlfn.IFNA(VLOOKUP(MSSリスト!I76,社員リスト[],MATCH("名前",社員リスト[#Headers],0),FALSE),"")</f>
        <v/>
      </c>
      <c r="L76" s="74" t="str">
        <f>_xlfn.IFNA(VLOOKUP(MSSリスト!J76,社員リスト[],MATCH("名前",社員リスト[#Headers],0),FALSE),"")</f>
        <v/>
      </c>
      <c r="M76" s="526">
        <f>MSSリスト!K76</f>
        <v>0</v>
      </c>
      <c r="N76" s="76" t="str">
        <f>IF(MSSリスト!L76="","",_xlfn.IFNA(VLOOKUP(MSSリスト!L76,設計契約リスト[],MATCH("設計契約",設計契約リスト[#Headers],0),FALSE),""))</f>
        <v/>
      </c>
      <c r="O76" s="74" t="str">
        <f>_xlfn.IFNA(VLOOKUP(MSSリスト!M76,契約ブランドリスト[],MATCH("ブランド",契約ブランドリスト[#Headers],0),FALSE),"")</f>
        <v/>
      </c>
      <c r="P76" s="74">
        <f>MSSリスト!N76</f>
        <v>0</v>
      </c>
      <c r="Q76" s="77">
        <f>MSSリスト!O76</f>
        <v>0</v>
      </c>
      <c r="R76" s="77">
        <f>MSSリスト!P76</f>
        <v>0</v>
      </c>
      <c r="S76" s="77">
        <f>MSSリスト!Q76</f>
        <v>0</v>
      </c>
      <c r="T76" s="77">
        <f>MSSリスト!R76</f>
        <v>0</v>
      </c>
      <c r="U76" s="77">
        <f>MSSリスト!S76</f>
        <v>0</v>
      </c>
      <c r="V76" s="78">
        <f>MSSリスト!T76</f>
        <v>0</v>
      </c>
    </row>
    <row r="77" spans="4:22">
      <c r="D77" s="84" t="str">
        <f>IF(MSSリスト!B77&lt;&gt;"",HYPERLINK("https://nextoffice.next-hd.co.jp/pleasanter/items/"&amp;MSSリスト!B77&amp;"/edit","開く"),"")</f>
        <v/>
      </c>
      <c r="E77" s="76" t="str">
        <f>_xlfn.IFNA(VLOOKUP(MSSリスト!C77,ステータス一覧[],MATCH("ステータス",ステータス一覧[#Headers],0),FALSE),"")</f>
        <v/>
      </c>
      <c r="F77" s="75">
        <f>MSSリスト!D77</f>
        <v>0</v>
      </c>
      <c r="G77" s="76" t="str">
        <f>_xlfn.IFNA(VLOOKUP(MSSリスト!E77,シート分類一覧[],MATCH("種別",シート分類一覧[#Headers],0),FALSE),"")</f>
        <v/>
      </c>
      <c r="H77" s="74" t="str">
        <f>_xlfn.IFNA(VLOOKUP(MSSリスト!F77,営業所リスト[],MATCH("店舗名",営業所リスト[#Headers],0),FALSE),"")</f>
        <v/>
      </c>
      <c r="I77" s="74" t="str">
        <f>_xlfn.IFNA(VLOOKUP(MSSリスト!G77,社員リスト[],MATCH("名前",社員リスト[#Headers],0),FALSE),"")</f>
        <v/>
      </c>
      <c r="J77" s="74" t="str">
        <f>_xlfn.IFNA(VLOOKUP(MSSリスト!H77,社員リスト[],MATCH("名前",社員リスト[#Headers],0),FALSE),"")</f>
        <v/>
      </c>
      <c r="K77" s="74" t="str">
        <f>_xlfn.IFNA(VLOOKUP(MSSリスト!I77,社員リスト[],MATCH("名前",社員リスト[#Headers],0),FALSE),"")</f>
        <v/>
      </c>
      <c r="L77" s="74" t="str">
        <f>_xlfn.IFNA(VLOOKUP(MSSリスト!J77,社員リスト[],MATCH("名前",社員リスト[#Headers],0),FALSE),"")</f>
        <v/>
      </c>
      <c r="M77" s="526">
        <f>MSSリスト!K77</f>
        <v>0</v>
      </c>
      <c r="N77" s="76" t="str">
        <f>IF(MSSリスト!L77="","",_xlfn.IFNA(VLOOKUP(MSSリスト!L77,設計契約リスト[],MATCH("設計契約",設計契約リスト[#Headers],0),FALSE),""))</f>
        <v/>
      </c>
      <c r="O77" s="74" t="str">
        <f>_xlfn.IFNA(VLOOKUP(MSSリスト!M77,契約ブランドリスト[],MATCH("ブランド",契約ブランドリスト[#Headers],0),FALSE),"")</f>
        <v/>
      </c>
      <c r="P77" s="74">
        <f>MSSリスト!N77</f>
        <v>0</v>
      </c>
      <c r="Q77" s="77">
        <f>MSSリスト!O77</f>
        <v>0</v>
      </c>
      <c r="R77" s="77">
        <f>MSSリスト!P77</f>
        <v>0</v>
      </c>
      <c r="S77" s="77">
        <f>MSSリスト!Q77</f>
        <v>0</v>
      </c>
      <c r="T77" s="77">
        <f>MSSリスト!R77</f>
        <v>0</v>
      </c>
      <c r="U77" s="77">
        <f>MSSリスト!S77</f>
        <v>0</v>
      </c>
      <c r="V77" s="78">
        <f>MSSリスト!T77</f>
        <v>0</v>
      </c>
    </row>
    <row r="78" spans="4:22">
      <c r="D78" s="84" t="str">
        <f>IF(MSSリスト!B78&lt;&gt;"",HYPERLINK("https://nextoffice.next-hd.co.jp/pleasanter/items/"&amp;MSSリスト!B78&amp;"/edit","開く"),"")</f>
        <v/>
      </c>
      <c r="E78" s="76" t="str">
        <f>_xlfn.IFNA(VLOOKUP(MSSリスト!C78,ステータス一覧[],MATCH("ステータス",ステータス一覧[#Headers],0),FALSE),"")</f>
        <v/>
      </c>
      <c r="F78" s="75">
        <f>MSSリスト!D78</f>
        <v>0</v>
      </c>
      <c r="G78" s="76" t="str">
        <f>_xlfn.IFNA(VLOOKUP(MSSリスト!E78,シート分類一覧[],MATCH("種別",シート分類一覧[#Headers],0),FALSE),"")</f>
        <v/>
      </c>
      <c r="H78" s="74" t="str">
        <f>_xlfn.IFNA(VLOOKUP(MSSリスト!F78,営業所リスト[],MATCH("店舗名",営業所リスト[#Headers],0),FALSE),"")</f>
        <v/>
      </c>
      <c r="I78" s="74" t="str">
        <f>_xlfn.IFNA(VLOOKUP(MSSリスト!G78,社員リスト[],MATCH("名前",社員リスト[#Headers],0),FALSE),"")</f>
        <v/>
      </c>
      <c r="J78" s="74" t="str">
        <f>_xlfn.IFNA(VLOOKUP(MSSリスト!H78,社員リスト[],MATCH("名前",社員リスト[#Headers],0),FALSE),"")</f>
        <v/>
      </c>
      <c r="K78" s="74" t="str">
        <f>_xlfn.IFNA(VLOOKUP(MSSリスト!I78,社員リスト[],MATCH("名前",社員リスト[#Headers],0),FALSE),"")</f>
        <v/>
      </c>
      <c r="L78" s="74" t="str">
        <f>_xlfn.IFNA(VLOOKUP(MSSリスト!J78,社員リスト[],MATCH("名前",社員リスト[#Headers],0),FALSE),"")</f>
        <v/>
      </c>
      <c r="M78" s="526">
        <f>MSSリスト!K78</f>
        <v>0</v>
      </c>
      <c r="N78" s="76" t="str">
        <f>IF(MSSリスト!L78="","",_xlfn.IFNA(VLOOKUP(MSSリスト!L78,設計契約リスト[],MATCH("設計契約",設計契約リスト[#Headers],0),FALSE),""))</f>
        <v/>
      </c>
      <c r="O78" s="74" t="str">
        <f>_xlfn.IFNA(VLOOKUP(MSSリスト!M78,契約ブランドリスト[],MATCH("ブランド",契約ブランドリスト[#Headers],0),FALSE),"")</f>
        <v/>
      </c>
      <c r="P78" s="74">
        <f>MSSリスト!N78</f>
        <v>0</v>
      </c>
      <c r="Q78" s="77">
        <f>MSSリスト!O78</f>
        <v>0</v>
      </c>
      <c r="R78" s="77">
        <f>MSSリスト!P78</f>
        <v>0</v>
      </c>
      <c r="S78" s="77">
        <f>MSSリスト!Q78</f>
        <v>0</v>
      </c>
      <c r="T78" s="77">
        <f>MSSリスト!R78</f>
        <v>0</v>
      </c>
      <c r="U78" s="77">
        <f>MSSリスト!S78</f>
        <v>0</v>
      </c>
      <c r="V78" s="78">
        <f>MSSリスト!T78</f>
        <v>0</v>
      </c>
    </row>
    <row r="79" spans="4:22">
      <c r="D79" s="84" t="str">
        <f>IF(MSSリスト!B79&lt;&gt;"",HYPERLINK("https://nextoffice.next-hd.co.jp/pleasanter/items/"&amp;MSSリスト!B79&amp;"/edit","開く"),"")</f>
        <v/>
      </c>
      <c r="E79" s="76" t="str">
        <f>_xlfn.IFNA(VLOOKUP(MSSリスト!C79,ステータス一覧[],MATCH("ステータス",ステータス一覧[#Headers],0),FALSE),"")</f>
        <v/>
      </c>
      <c r="F79" s="75">
        <f>MSSリスト!D79</f>
        <v>0</v>
      </c>
      <c r="G79" s="76" t="str">
        <f>_xlfn.IFNA(VLOOKUP(MSSリスト!E79,シート分類一覧[],MATCH("種別",シート分類一覧[#Headers],0),FALSE),"")</f>
        <v/>
      </c>
      <c r="H79" s="74" t="str">
        <f>_xlfn.IFNA(VLOOKUP(MSSリスト!F79,営業所リスト[],MATCH("店舗名",営業所リスト[#Headers],0),FALSE),"")</f>
        <v/>
      </c>
      <c r="I79" s="74" t="str">
        <f>_xlfn.IFNA(VLOOKUP(MSSリスト!G79,社員リスト[],MATCH("名前",社員リスト[#Headers],0),FALSE),"")</f>
        <v/>
      </c>
      <c r="J79" s="74" t="str">
        <f>_xlfn.IFNA(VLOOKUP(MSSリスト!H79,社員リスト[],MATCH("名前",社員リスト[#Headers],0),FALSE),"")</f>
        <v/>
      </c>
      <c r="K79" s="74" t="str">
        <f>_xlfn.IFNA(VLOOKUP(MSSリスト!I79,社員リスト[],MATCH("名前",社員リスト[#Headers],0),FALSE),"")</f>
        <v/>
      </c>
      <c r="L79" s="74" t="str">
        <f>_xlfn.IFNA(VLOOKUP(MSSリスト!J79,社員リスト[],MATCH("名前",社員リスト[#Headers],0),FALSE),"")</f>
        <v/>
      </c>
      <c r="M79" s="526">
        <f>MSSリスト!K79</f>
        <v>0</v>
      </c>
      <c r="N79" s="76" t="str">
        <f>IF(MSSリスト!L79="","",_xlfn.IFNA(VLOOKUP(MSSリスト!L79,設計契約リスト[],MATCH("設計契約",設計契約リスト[#Headers],0),FALSE),""))</f>
        <v/>
      </c>
      <c r="O79" s="74" t="str">
        <f>_xlfn.IFNA(VLOOKUP(MSSリスト!M79,契約ブランドリスト[],MATCH("ブランド",契約ブランドリスト[#Headers],0),FALSE),"")</f>
        <v/>
      </c>
      <c r="P79" s="74">
        <f>MSSリスト!N79</f>
        <v>0</v>
      </c>
      <c r="Q79" s="77">
        <f>MSSリスト!O79</f>
        <v>0</v>
      </c>
      <c r="R79" s="77">
        <f>MSSリスト!P79</f>
        <v>0</v>
      </c>
      <c r="S79" s="77">
        <f>MSSリスト!Q79</f>
        <v>0</v>
      </c>
      <c r="T79" s="77">
        <f>MSSリスト!R79</f>
        <v>0</v>
      </c>
      <c r="U79" s="77">
        <f>MSSリスト!S79</f>
        <v>0</v>
      </c>
      <c r="V79" s="78">
        <f>MSSリスト!T79</f>
        <v>0</v>
      </c>
    </row>
    <row r="80" spans="4:22">
      <c r="D80" s="84" t="str">
        <f>IF(MSSリスト!B80&lt;&gt;"",HYPERLINK("https://nextoffice.next-hd.co.jp/pleasanter/items/"&amp;MSSリスト!B80&amp;"/edit","開く"),"")</f>
        <v/>
      </c>
      <c r="E80" s="76" t="str">
        <f>_xlfn.IFNA(VLOOKUP(MSSリスト!C80,ステータス一覧[],MATCH("ステータス",ステータス一覧[#Headers],0),FALSE),"")</f>
        <v/>
      </c>
      <c r="F80" s="75">
        <f>MSSリスト!D80</f>
        <v>0</v>
      </c>
      <c r="G80" s="76" t="str">
        <f>_xlfn.IFNA(VLOOKUP(MSSリスト!E80,シート分類一覧[],MATCH("種別",シート分類一覧[#Headers],0),FALSE),"")</f>
        <v/>
      </c>
      <c r="H80" s="74" t="str">
        <f>_xlfn.IFNA(VLOOKUP(MSSリスト!F80,営業所リスト[],MATCH("店舗名",営業所リスト[#Headers],0),FALSE),"")</f>
        <v/>
      </c>
      <c r="I80" s="74" t="str">
        <f>_xlfn.IFNA(VLOOKUP(MSSリスト!G80,社員リスト[],MATCH("名前",社員リスト[#Headers],0),FALSE),"")</f>
        <v/>
      </c>
      <c r="J80" s="74" t="str">
        <f>_xlfn.IFNA(VLOOKUP(MSSリスト!H80,社員リスト[],MATCH("名前",社員リスト[#Headers],0),FALSE),"")</f>
        <v/>
      </c>
      <c r="K80" s="74" t="str">
        <f>_xlfn.IFNA(VLOOKUP(MSSリスト!I80,社員リスト[],MATCH("名前",社員リスト[#Headers],0),FALSE),"")</f>
        <v/>
      </c>
      <c r="L80" s="74" t="str">
        <f>_xlfn.IFNA(VLOOKUP(MSSリスト!J80,社員リスト[],MATCH("名前",社員リスト[#Headers],0),FALSE),"")</f>
        <v/>
      </c>
      <c r="M80" s="526">
        <f>MSSリスト!K80</f>
        <v>0</v>
      </c>
      <c r="N80" s="76" t="str">
        <f>IF(MSSリスト!L80="","",_xlfn.IFNA(VLOOKUP(MSSリスト!L80,設計契約リスト[],MATCH("設計契約",設計契約リスト[#Headers],0),FALSE),""))</f>
        <v/>
      </c>
      <c r="O80" s="74" t="str">
        <f>_xlfn.IFNA(VLOOKUP(MSSリスト!M80,契約ブランドリスト[],MATCH("ブランド",契約ブランドリスト[#Headers],0),FALSE),"")</f>
        <v/>
      </c>
      <c r="P80" s="74">
        <f>MSSリスト!N80</f>
        <v>0</v>
      </c>
      <c r="Q80" s="77">
        <f>MSSリスト!O80</f>
        <v>0</v>
      </c>
      <c r="R80" s="77">
        <f>MSSリスト!P80</f>
        <v>0</v>
      </c>
      <c r="S80" s="77">
        <f>MSSリスト!Q80</f>
        <v>0</v>
      </c>
      <c r="T80" s="77">
        <f>MSSリスト!R80</f>
        <v>0</v>
      </c>
      <c r="U80" s="77">
        <f>MSSリスト!S80</f>
        <v>0</v>
      </c>
      <c r="V80" s="78">
        <f>MSSリスト!T80</f>
        <v>0</v>
      </c>
    </row>
    <row r="81" spans="4:22">
      <c r="D81" s="84" t="str">
        <f>IF(MSSリスト!B81&lt;&gt;"",HYPERLINK("https://nextoffice.next-hd.co.jp/pleasanter/items/"&amp;MSSリスト!B81&amp;"/edit","開く"),"")</f>
        <v/>
      </c>
      <c r="E81" s="76" t="str">
        <f>_xlfn.IFNA(VLOOKUP(MSSリスト!C81,ステータス一覧[],MATCH("ステータス",ステータス一覧[#Headers],0),FALSE),"")</f>
        <v/>
      </c>
      <c r="F81" s="75">
        <f>MSSリスト!D81</f>
        <v>0</v>
      </c>
      <c r="G81" s="76" t="str">
        <f>_xlfn.IFNA(VLOOKUP(MSSリスト!E81,シート分類一覧[],MATCH("種別",シート分類一覧[#Headers],0),FALSE),"")</f>
        <v/>
      </c>
      <c r="H81" s="74" t="str">
        <f>_xlfn.IFNA(VLOOKUP(MSSリスト!F81,営業所リスト[],MATCH("店舗名",営業所リスト[#Headers],0),FALSE),"")</f>
        <v/>
      </c>
      <c r="I81" s="74" t="str">
        <f>_xlfn.IFNA(VLOOKUP(MSSリスト!G81,社員リスト[],MATCH("名前",社員リスト[#Headers],0),FALSE),"")</f>
        <v/>
      </c>
      <c r="J81" s="74" t="str">
        <f>_xlfn.IFNA(VLOOKUP(MSSリスト!H81,社員リスト[],MATCH("名前",社員リスト[#Headers],0),FALSE),"")</f>
        <v/>
      </c>
      <c r="K81" s="74" t="str">
        <f>_xlfn.IFNA(VLOOKUP(MSSリスト!I81,社員リスト[],MATCH("名前",社員リスト[#Headers],0),FALSE),"")</f>
        <v/>
      </c>
      <c r="L81" s="74" t="str">
        <f>_xlfn.IFNA(VLOOKUP(MSSリスト!J81,社員リスト[],MATCH("名前",社員リスト[#Headers],0),FALSE),"")</f>
        <v/>
      </c>
      <c r="M81" s="526">
        <f>MSSリスト!K81</f>
        <v>0</v>
      </c>
      <c r="N81" s="76" t="str">
        <f>IF(MSSリスト!L81="","",_xlfn.IFNA(VLOOKUP(MSSリスト!L81,設計契約リスト[],MATCH("設計契約",設計契約リスト[#Headers],0),FALSE),""))</f>
        <v/>
      </c>
      <c r="O81" s="74" t="str">
        <f>_xlfn.IFNA(VLOOKUP(MSSリスト!M81,契約ブランドリスト[],MATCH("ブランド",契約ブランドリスト[#Headers],0),FALSE),"")</f>
        <v/>
      </c>
      <c r="P81" s="74">
        <f>MSSリスト!N81</f>
        <v>0</v>
      </c>
      <c r="Q81" s="77">
        <f>MSSリスト!O81</f>
        <v>0</v>
      </c>
      <c r="R81" s="77">
        <f>MSSリスト!P81</f>
        <v>0</v>
      </c>
      <c r="S81" s="77">
        <f>MSSリスト!Q81</f>
        <v>0</v>
      </c>
      <c r="T81" s="77">
        <f>MSSリスト!R81</f>
        <v>0</v>
      </c>
      <c r="U81" s="77">
        <f>MSSリスト!S81</f>
        <v>0</v>
      </c>
      <c r="V81" s="78">
        <f>MSSリスト!T81</f>
        <v>0</v>
      </c>
    </row>
    <row r="82" spans="4:22">
      <c r="D82" s="84" t="str">
        <f>IF(MSSリスト!B82&lt;&gt;"",HYPERLINK("https://nextoffice.next-hd.co.jp/pleasanter/items/"&amp;MSSリスト!B82&amp;"/edit","開く"),"")</f>
        <v/>
      </c>
      <c r="E82" s="76" t="str">
        <f>_xlfn.IFNA(VLOOKUP(MSSリスト!C82,ステータス一覧[],MATCH("ステータス",ステータス一覧[#Headers],0),FALSE),"")</f>
        <v/>
      </c>
      <c r="F82" s="75">
        <f>MSSリスト!D82</f>
        <v>0</v>
      </c>
      <c r="G82" s="76" t="str">
        <f>_xlfn.IFNA(VLOOKUP(MSSリスト!E82,シート分類一覧[],MATCH("種別",シート分類一覧[#Headers],0),FALSE),"")</f>
        <v/>
      </c>
      <c r="H82" s="74" t="str">
        <f>_xlfn.IFNA(VLOOKUP(MSSリスト!F82,営業所リスト[],MATCH("店舗名",営業所リスト[#Headers],0),FALSE),"")</f>
        <v/>
      </c>
      <c r="I82" s="74" t="str">
        <f>_xlfn.IFNA(VLOOKUP(MSSリスト!G82,社員リスト[],MATCH("名前",社員リスト[#Headers],0),FALSE),"")</f>
        <v/>
      </c>
      <c r="J82" s="74" t="str">
        <f>_xlfn.IFNA(VLOOKUP(MSSリスト!H82,社員リスト[],MATCH("名前",社員リスト[#Headers],0),FALSE),"")</f>
        <v/>
      </c>
      <c r="K82" s="74" t="str">
        <f>_xlfn.IFNA(VLOOKUP(MSSリスト!I82,社員リスト[],MATCH("名前",社員リスト[#Headers],0),FALSE),"")</f>
        <v/>
      </c>
      <c r="L82" s="74" t="str">
        <f>_xlfn.IFNA(VLOOKUP(MSSリスト!J82,社員リスト[],MATCH("名前",社員リスト[#Headers],0),FALSE),"")</f>
        <v/>
      </c>
      <c r="M82" s="526">
        <f>MSSリスト!K82</f>
        <v>0</v>
      </c>
      <c r="N82" s="76" t="str">
        <f>IF(MSSリスト!L82="","",_xlfn.IFNA(VLOOKUP(MSSリスト!L82,設計契約リスト[],MATCH("設計契約",設計契約リスト[#Headers],0),FALSE),""))</f>
        <v/>
      </c>
      <c r="O82" s="74" t="str">
        <f>_xlfn.IFNA(VLOOKUP(MSSリスト!M82,契約ブランドリスト[],MATCH("ブランド",契約ブランドリスト[#Headers],0),FALSE),"")</f>
        <v/>
      </c>
      <c r="P82" s="74">
        <f>MSSリスト!N82</f>
        <v>0</v>
      </c>
      <c r="Q82" s="77">
        <f>MSSリスト!O82</f>
        <v>0</v>
      </c>
      <c r="R82" s="77">
        <f>MSSリスト!P82</f>
        <v>0</v>
      </c>
      <c r="S82" s="77">
        <f>MSSリスト!Q82</f>
        <v>0</v>
      </c>
      <c r="T82" s="77">
        <f>MSSリスト!R82</f>
        <v>0</v>
      </c>
      <c r="U82" s="77">
        <f>MSSリスト!S82</f>
        <v>0</v>
      </c>
      <c r="V82" s="78">
        <f>MSSリスト!T82</f>
        <v>0</v>
      </c>
    </row>
    <row r="83" spans="4:22">
      <c r="D83" s="84" t="str">
        <f>IF(MSSリスト!B83&lt;&gt;"",HYPERLINK("https://nextoffice.next-hd.co.jp/pleasanter/items/"&amp;MSSリスト!B83&amp;"/edit","開く"),"")</f>
        <v/>
      </c>
      <c r="E83" s="76" t="str">
        <f>_xlfn.IFNA(VLOOKUP(MSSリスト!C83,ステータス一覧[],MATCH("ステータス",ステータス一覧[#Headers],0),FALSE),"")</f>
        <v/>
      </c>
      <c r="F83" s="75">
        <f>MSSリスト!D83</f>
        <v>0</v>
      </c>
      <c r="G83" s="76" t="str">
        <f>_xlfn.IFNA(VLOOKUP(MSSリスト!E83,シート分類一覧[],MATCH("種別",シート分類一覧[#Headers],0),FALSE),"")</f>
        <v/>
      </c>
      <c r="H83" s="74" t="str">
        <f>_xlfn.IFNA(VLOOKUP(MSSリスト!F83,営業所リスト[],MATCH("店舗名",営業所リスト[#Headers],0),FALSE),"")</f>
        <v/>
      </c>
      <c r="I83" s="74" t="str">
        <f>_xlfn.IFNA(VLOOKUP(MSSリスト!G83,社員リスト[],MATCH("名前",社員リスト[#Headers],0),FALSE),"")</f>
        <v/>
      </c>
      <c r="J83" s="74" t="str">
        <f>_xlfn.IFNA(VLOOKUP(MSSリスト!H83,社員リスト[],MATCH("名前",社員リスト[#Headers],0),FALSE),"")</f>
        <v/>
      </c>
      <c r="K83" s="74" t="str">
        <f>_xlfn.IFNA(VLOOKUP(MSSリスト!I83,社員リスト[],MATCH("名前",社員リスト[#Headers],0),FALSE),"")</f>
        <v/>
      </c>
      <c r="L83" s="74" t="str">
        <f>_xlfn.IFNA(VLOOKUP(MSSリスト!J83,社員リスト[],MATCH("名前",社員リスト[#Headers],0),FALSE),"")</f>
        <v/>
      </c>
      <c r="M83" s="526">
        <f>MSSリスト!K83</f>
        <v>0</v>
      </c>
      <c r="N83" s="76" t="str">
        <f>IF(MSSリスト!L83="","",_xlfn.IFNA(VLOOKUP(MSSリスト!L83,設計契約リスト[],MATCH("設計契約",設計契約リスト[#Headers],0),FALSE),""))</f>
        <v/>
      </c>
      <c r="O83" s="74" t="str">
        <f>_xlfn.IFNA(VLOOKUP(MSSリスト!M83,契約ブランドリスト[],MATCH("ブランド",契約ブランドリスト[#Headers],0),FALSE),"")</f>
        <v/>
      </c>
      <c r="P83" s="74">
        <f>MSSリスト!N83</f>
        <v>0</v>
      </c>
      <c r="Q83" s="77">
        <f>MSSリスト!O83</f>
        <v>0</v>
      </c>
      <c r="R83" s="77">
        <f>MSSリスト!P83</f>
        <v>0</v>
      </c>
      <c r="S83" s="77">
        <f>MSSリスト!Q83</f>
        <v>0</v>
      </c>
      <c r="T83" s="77">
        <f>MSSリスト!R83</f>
        <v>0</v>
      </c>
      <c r="U83" s="77">
        <f>MSSリスト!S83</f>
        <v>0</v>
      </c>
      <c r="V83" s="78">
        <f>MSSリスト!T83</f>
        <v>0</v>
      </c>
    </row>
    <row r="84" spans="4:22">
      <c r="D84" s="84" t="str">
        <f>IF(MSSリスト!B84&lt;&gt;"",HYPERLINK("https://nextoffice.next-hd.co.jp/pleasanter/items/"&amp;MSSリスト!B84&amp;"/edit","開く"),"")</f>
        <v/>
      </c>
      <c r="E84" s="76" t="str">
        <f>_xlfn.IFNA(VLOOKUP(MSSリスト!C84,ステータス一覧[],MATCH("ステータス",ステータス一覧[#Headers],0),FALSE),"")</f>
        <v/>
      </c>
      <c r="F84" s="75">
        <f>MSSリスト!D84</f>
        <v>0</v>
      </c>
      <c r="G84" s="76" t="str">
        <f>_xlfn.IFNA(VLOOKUP(MSSリスト!E84,シート分類一覧[],MATCH("種別",シート分類一覧[#Headers],0),FALSE),"")</f>
        <v/>
      </c>
      <c r="H84" s="74" t="str">
        <f>_xlfn.IFNA(VLOOKUP(MSSリスト!F84,営業所リスト[],MATCH("店舗名",営業所リスト[#Headers],0),FALSE),"")</f>
        <v/>
      </c>
      <c r="I84" s="74" t="str">
        <f>_xlfn.IFNA(VLOOKUP(MSSリスト!G84,社員リスト[],MATCH("名前",社員リスト[#Headers],0),FALSE),"")</f>
        <v/>
      </c>
      <c r="J84" s="74" t="str">
        <f>_xlfn.IFNA(VLOOKUP(MSSリスト!H84,社員リスト[],MATCH("名前",社員リスト[#Headers],0),FALSE),"")</f>
        <v/>
      </c>
      <c r="K84" s="74" t="str">
        <f>_xlfn.IFNA(VLOOKUP(MSSリスト!I84,社員リスト[],MATCH("名前",社員リスト[#Headers],0),FALSE),"")</f>
        <v/>
      </c>
      <c r="L84" s="74" t="str">
        <f>_xlfn.IFNA(VLOOKUP(MSSリスト!J84,社員リスト[],MATCH("名前",社員リスト[#Headers],0),FALSE),"")</f>
        <v/>
      </c>
      <c r="M84" s="526">
        <f>MSSリスト!K84</f>
        <v>0</v>
      </c>
      <c r="N84" s="76" t="str">
        <f>IF(MSSリスト!L84="","",_xlfn.IFNA(VLOOKUP(MSSリスト!L84,設計契約リスト[],MATCH("設計契約",設計契約リスト[#Headers],0),FALSE),""))</f>
        <v/>
      </c>
      <c r="O84" s="74" t="str">
        <f>_xlfn.IFNA(VLOOKUP(MSSリスト!M84,契約ブランドリスト[],MATCH("ブランド",契約ブランドリスト[#Headers],0),FALSE),"")</f>
        <v/>
      </c>
      <c r="P84" s="74">
        <f>MSSリスト!N84</f>
        <v>0</v>
      </c>
      <c r="Q84" s="77">
        <f>MSSリスト!O84</f>
        <v>0</v>
      </c>
      <c r="R84" s="77">
        <f>MSSリスト!P84</f>
        <v>0</v>
      </c>
      <c r="S84" s="77">
        <f>MSSリスト!Q84</f>
        <v>0</v>
      </c>
      <c r="T84" s="77">
        <f>MSSリスト!R84</f>
        <v>0</v>
      </c>
      <c r="U84" s="77">
        <f>MSSリスト!S84</f>
        <v>0</v>
      </c>
      <c r="V84" s="78">
        <f>MSSリスト!T84</f>
        <v>0</v>
      </c>
    </row>
    <row r="85" spans="4:22">
      <c r="D85" s="84" t="str">
        <f>IF(MSSリスト!B85&lt;&gt;"",HYPERLINK("https://nextoffice.next-hd.co.jp/pleasanter/items/"&amp;MSSリスト!B85&amp;"/edit","開く"),"")</f>
        <v/>
      </c>
      <c r="E85" s="76" t="str">
        <f>_xlfn.IFNA(VLOOKUP(MSSリスト!C85,ステータス一覧[],MATCH("ステータス",ステータス一覧[#Headers],0),FALSE),"")</f>
        <v/>
      </c>
      <c r="F85" s="75">
        <f>MSSリスト!D85</f>
        <v>0</v>
      </c>
      <c r="G85" s="76" t="str">
        <f>_xlfn.IFNA(VLOOKUP(MSSリスト!E85,シート分類一覧[],MATCH("種別",シート分類一覧[#Headers],0),FALSE),"")</f>
        <v/>
      </c>
      <c r="H85" s="74" t="str">
        <f>_xlfn.IFNA(VLOOKUP(MSSリスト!F85,営業所リスト[],MATCH("店舗名",営業所リスト[#Headers],0),FALSE),"")</f>
        <v/>
      </c>
      <c r="I85" s="74" t="str">
        <f>_xlfn.IFNA(VLOOKUP(MSSリスト!G85,社員リスト[],MATCH("名前",社員リスト[#Headers],0),FALSE),"")</f>
        <v/>
      </c>
      <c r="J85" s="74" t="str">
        <f>_xlfn.IFNA(VLOOKUP(MSSリスト!H85,社員リスト[],MATCH("名前",社員リスト[#Headers],0),FALSE),"")</f>
        <v/>
      </c>
      <c r="K85" s="74" t="str">
        <f>_xlfn.IFNA(VLOOKUP(MSSリスト!I85,社員リスト[],MATCH("名前",社員リスト[#Headers],0),FALSE),"")</f>
        <v/>
      </c>
      <c r="L85" s="74" t="str">
        <f>_xlfn.IFNA(VLOOKUP(MSSリスト!J85,社員リスト[],MATCH("名前",社員リスト[#Headers],0),FALSE),"")</f>
        <v/>
      </c>
      <c r="M85" s="526">
        <f>MSSリスト!K85</f>
        <v>0</v>
      </c>
      <c r="N85" s="76" t="str">
        <f>IF(MSSリスト!L85="","",_xlfn.IFNA(VLOOKUP(MSSリスト!L85,設計契約リスト[],MATCH("設計契約",設計契約リスト[#Headers],0),FALSE),""))</f>
        <v/>
      </c>
      <c r="O85" s="74" t="str">
        <f>_xlfn.IFNA(VLOOKUP(MSSリスト!M85,契約ブランドリスト[],MATCH("ブランド",契約ブランドリスト[#Headers],0),FALSE),"")</f>
        <v/>
      </c>
      <c r="P85" s="74">
        <f>MSSリスト!N85</f>
        <v>0</v>
      </c>
      <c r="Q85" s="77">
        <f>MSSリスト!O85</f>
        <v>0</v>
      </c>
      <c r="R85" s="77">
        <f>MSSリスト!P85</f>
        <v>0</v>
      </c>
      <c r="S85" s="77">
        <f>MSSリスト!Q85</f>
        <v>0</v>
      </c>
      <c r="T85" s="77">
        <f>MSSリスト!R85</f>
        <v>0</v>
      </c>
      <c r="U85" s="77">
        <f>MSSリスト!S85</f>
        <v>0</v>
      </c>
      <c r="V85" s="78">
        <f>MSSリスト!T85</f>
        <v>0</v>
      </c>
    </row>
    <row r="86" spans="4:22">
      <c r="D86" s="84" t="str">
        <f>IF(MSSリスト!B86&lt;&gt;"",HYPERLINK("https://nextoffice.next-hd.co.jp/pleasanter/items/"&amp;MSSリスト!B86&amp;"/edit","開く"),"")</f>
        <v/>
      </c>
      <c r="E86" s="76" t="str">
        <f>_xlfn.IFNA(VLOOKUP(MSSリスト!C86,ステータス一覧[],MATCH("ステータス",ステータス一覧[#Headers],0),FALSE),"")</f>
        <v/>
      </c>
      <c r="F86" s="75">
        <f>MSSリスト!D86</f>
        <v>0</v>
      </c>
      <c r="G86" s="76" t="str">
        <f>_xlfn.IFNA(VLOOKUP(MSSリスト!E86,シート分類一覧[],MATCH("種別",シート分類一覧[#Headers],0),FALSE),"")</f>
        <v/>
      </c>
      <c r="H86" s="74" t="str">
        <f>_xlfn.IFNA(VLOOKUP(MSSリスト!F86,営業所リスト[],MATCH("店舗名",営業所リスト[#Headers],0),FALSE),"")</f>
        <v/>
      </c>
      <c r="I86" s="74" t="str">
        <f>_xlfn.IFNA(VLOOKUP(MSSリスト!G86,社員リスト[],MATCH("名前",社員リスト[#Headers],0),FALSE),"")</f>
        <v/>
      </c>
      <c r="J86" s="74" t="str">
        <f>_xlfn.IFNA(VLOOKUP(MSSリスト!H86,社員リスト[],MATCH("名前",社員リスト[#Headers],0),FALSE),"")</f>
        <v/>
      </c>
      <c r="K86" s="74" t="str">
        <f>_xlfn.IFNA(VLOOKUP(MSSリスト!I86,社員リスト[],MATCH("名前",社員リスト[#Headers],0),FALSE),"")</f>
        <v/>
      </c>
      <c r="L86" s="74" t="str">
        <f>_xlfn.IFNA(VLOOKUP(MSSリスト!J86,社員リスト[],MATCH("名前",社員リスト[#Headers],0),FALSE),"")</f>
        <v/>
      </c>
      <c r="M86" s="526">
        <f>MSSリスト!K86</f>
        <v>0</v>
      </c>
      <c r="N86" s="76" t="str">
        <f>IF(MSSリスト!L86="","",_xlfn.IFNA(VLOOKUP(MSSリスト!L86,設計契約リスト[],MATCH("設計契約",設計契約リスト[#Headers],0),FALSE),""))</f>
        <v/>
      </c>
      <c r="O86" s="74" t="str">
        <f>_xlfn.IFNA(VLOOKUP(MSSリスト!M86,契約ブランドリスト[],MATCH("ブランド",契約ブランドリスト[#Headers],0),FALSE),"")</f>
        <v/>
      </c>
      <c r="P86" s="74">
        <f>MSSリスト!N86</f>
        <v>0</v>
      </c>
      <c r="Q86" s="77">
        <f>MSSリスト!O86</f>
        <v>0</v>
      </c>
      <c r="R86" s="77">
        <f>MSSリスト!P86</f>
        <v>0</v>
      </c>
      <c r="S86" s="77">
        <f>MSSリスト!Q86</f>
        <v>0</v>
      </c>
      <c r="T86" s="77">
        <f>MSSリスト!R86</f>
        <v>0</v>
      </c>
      <c r="U86" s="77">
        <f>MSSリスト!S86</f>
        <v>0</v>
      </c>
      <c r="V86" s="78">
        <f>MSSリスト!T86</f>
        <v>0</v>
      </c>
    </row>
    <row r="87" spans="4:22">
      <c r="D87" s="84" t="str">
        <f>IF(MSSリスト!B87&lt;&gt;"",HYPERLINK("https://nextoffice.next-hd.co.jp/pleasanter/items/"&amp;MSSリスト!B87&amp;"/edit","開く"),"")</f>
        <v/>
      </c>
      <c r="E87" s="76" t="str">
        <f>_xlfn.IFNA(VLOOKUP(MSSリスト!C87,ステータス一覧[],MATCH("ステータス",ステータス一覧[#Headers],0),FALSE),"")</f>
        <v/>
      </c>
      <c r="F87" s="75">
        <f>MSSリスト!D87</f>
        <v>0</v>
      </c>
      <c r="G87" s="76" t="str">
        <f>_xlfn.IFNA(VLOOKUP(MSSリスト!E87,シート分類一覧[],MATCH("種別",シート分類一覧[#Headers],0),FALSE),"")</f>
        <v/>
      </c>
      <c r="H87" s="74" t="str">
        <f>_xlfn.IFNA(VLOOKUP(MSSリスト!F87,営業所リスト[],MATCH("店舗名",営業所リスト[#Headers],0),FALSE),"")</f>
        <v/>
      </c>
      <c r="I87" s="74" t="str">
        <f>_xlfn.IFNA(VLOOKUP(MSSリスト!G87,社員リスト[],MATCH("名前",社員リスト[#Headers],0),FALSE),"")</f>
        <v/>
      </c>
      <c r="J87" s="74" t="str">
        <f>_xlfn.IFNA(VLOOKUP(MSSリスト!H87,社員リスト[],MATCH("名前",社員リスト[#Headers],0),FALSE),"")</f>
        <v/>
      </c>
      <c r="K87" s="74" t="str">
        <f>_xlfn.IFNA(VLOOKUP(MSSリスト!I87,社員リスト[],MATCH("名前",社員リスト[#Headers],0),FALSE),"")</f>
        <v/>
      </c>
      <c r="L87" s="74" t="str">
        <f>_xlfn.IFNA(VLOOKUP(MSSリスト!J87,社員リスト[],MATCH("名前",社員リスト[#Headers],0),FALSE),"")</f>
        <v/>
      </c>
      <c r="M87" s="526">
        <f>MSSリスト!K87</f>
        <v>0</v>
      </c>
      <c r="N87" s="76" t="str">
        <f>IF(MSSリスト!L87="","",_xlfn.IFNA(VLOOKUP(MSSリスト!L87,設計契約リスト[],MATCH("設計契約",設計契約リスト[#Headers],0),FALSE),""))</f>
        <v/>
      </c>
      <c r="O87" s="74" t="str">
        <f>_xlfn.IFNA(VLOOKUP(MSSリスト!M87,契約ブランドリスト[],MATCH("ブランド",契約ブランドリスト[#Headers],0),FALSE),"")</f>
        <v/>
      </c>
      <c r="P87" s="74">
        <f>MSSリスト!N87</f>
        <v>0</v>
      </c>
      <c r="Q87" s="77">
        <f>MSSリスト!O87</f>
        <v>0</v>
      </c>
      <c r="R87" s="77">
        <f>MSSリスト!P87</f>
        <v>0</v>
      </c>
      <c r="S87" s="77">
        <f>MSSリスト!Q87</f>
        <v>0</v>
      </c>
      <c r="T87" s="77">
        <f>MSSリスト!R87</f>
        <v>0</v>
      </c>
      <c r="U87" s="77">
        <f>MSSリスト!S87</f>
        <v>0</v>
      </c>
      <c r="V87" s="78">
        <f>MSSリスト!T87</f>
        <v>0</v>
      </c>
    </row>
    <row r="88" spans="4:22">
      <c r="D88" s="84" t="str">
        <f>IF(MSSリスト!B88&lt;&gt;"",HYPERLINK("https://nextoffice.next-hd.co.jp/pleasanter/items/"&amp;MSSリスト!B88&amp;"/edit","開く"),"")</f>
        <v/>
      </c>
      <c r="E88" s="76" t="str">
        <f>_xlfn.IFNA(VLOOKUP(MSSリスト!C88,ステータス一覧[],MATCH("ステータス",ステータス一覧[#Headers],0),FALSE),"")</f>
        <v/>
      </c>
      <c r="F88" s="75">
        <f>MSSリスト!D88</f>
        <v>0</v>
      </c>
      <c r="G88" s="76" t="str">
        <f>_xlfn.IFNA(VLOOKUP(MSSリスト!E88,シート分類一覧[],MATCH("種別",シート分類一覧[#Headers],0),FALSE),"")</f>
        <v/>
      </c>
      <c r="H88" s="74" t="str">
        <f>_xlfn.IFNA(VLOOKUP(MSSリスト!F88,営業所リスト[],MATCH("店舗名",営業所リスト[#Headers],0),FALSE),"")</f>
        <v/>
      </c>
      <c r="I88" s="74" t="str">
        <f>_xlfn.IFNA(VLOOKUP(MSSリスト!G88,社員リスト[],MATCH("名前",社員リスト[#Headers],0),FALSE),"")</f>
        <v/>
      </c>
      <c r="J88" s="74" t="str">
        <f>_xlfn.IFNA(VLOOKUP(MSSリスト!H88,社員リスト[],MATCH("名前",社員リスト[#Headers],0),FALSE),"")</f>
        <v/>
      </c>
      <c r="K88" s="74" t="str">
        <f>_xlfn.IFNA(VLOOKUP(MSSリスト!I88,社員リスト[],MATCH("名前",社員リスト[#Headers],0),FALSE),"")</f>
        <v/>
      </c>
      <c r="L88" s="74" t="str">
        <f>_xlfn.IFNA(VLOOKUP(MSSリスト!J88,社員リスト[],MATCH("名前",社員リスト[#Headers],0),FALSE),"")</f>
        <v/>
      </c>
      <c r="M88" s="526">
        <f>MSSリスト!K88</f>
        <v>0</v>
      </c>
      <c r="N88" s="76" t="str">
        <f>IF(MSSリスト!L88="","",_xlfn.IFNA(VLOOKUP(MSSリスト!L88,設計契約リスト[],MATCH("設計契約",設計契約リスト[#Headers],0),FALSE),""))</f>
        <v/>
      </c>
      <c r="O88" s="74" t="str">
        <f>_xlfn.IFNA(VLOOKUP(MSSリスト!M88,契約ブランドリスト[],MATCH("ブランド",契約ブランドリスト[#Headers],0),FALSE),"")</f>
        <v/>
      </c>
      <c r="P88" s="74">
        <f>MSSリスト!N88</f>
        <v>0</v>
      </c>
      <c r="Q88" s="77">
        <f>MSSリスト!O88</f>
        <v>0</v>
      </c>
      <c r="R88" s="77">
        <f>MSSリスト!P88</f>
        <v>0</v>
      </c>
      <c r="S88" s="77">
        <f>MSSリスト!Q88</f>
        <v>0</v>
      </c>
      <c r="T88" s="77">
        <f>MSSリスト!R88</f>
        <v>0</v>
      </c>
      <c r="U88" s="77">
        <f>MSSリスト!S88</f>
        <v>0</v>
      </c>
      <c r="V88" s="78">
        <f>MSSリスト!T88</f>
        <v>0</v>
      </c>
    </row>
    <row r="89" spans="4:22">
      <c r="D89" s="84" t="str">
        <f>IF(MSSリスト!B89&lt;&gt;"",HYPERLINK("https://nextoffice.next-hd.co.jp/pleasanter/items/"&amp;MSSリスト!B89&amp;"/edit","開く"),"")</f>
        <v/>
      </c>
      <c r="E89" s="76" t="str">
        <f>_xlfn.IFNA(VLOOKUP(MSSリスト!C89,ステータス一覧[],MATCH("ステータス",ステータス一覧[#Headers],0),FALSE),"")</f>
        <v/>
      </c>
      <c r="F89" s="75">
        <f>MSSリスト!D89</f>
        <v>0</v>
      </c>
      <c r="G89" s="76" t="str">
        <f>_xlfn.IFNA(VLOOKUP(MSSリスト!E89,シート分類一覧[],MATCH("種別",シート分類一覧[#Headers],0),FALSE),"")</f>
        <v/>
      </c>
      <c r="H89" s="74" t="str">
        <f>_xlfn.IFNA(VLOOKUP(MSSリスト!F89,営業所リスト[],MATCH("店舗名",営業所リスト[#Headers],0),FALSE),"")</f>
        <v/>
      </c>
      <c r="I89" s="74" t="str">
        <f>_xlfn.IFNA(VLOOKUP(MSSリスト!G89,社員リスト[],MATCH("名前",社員リスト[#Headers],0),FALSE),"")</f>
        <v/>
      </c>
      <c r="J89" s="74" t="str">
        <f>_xlfn.IFNA(VLOOKUP(MSSリスト!H89,社員リスト[],MATCH("名前",社員リスト[#Headers],0),FALSE),"")</f>
        <v/>
      </c>
      <c r="K89" s="74" t="str">
        <f>_xlfn.IFNA(VLOOKUP(MSSリスト!I89,社員リスト[],MATCH("名前",社員リスト[#Headers],0),FALSE),"")</f>
        <v/>
      </c>
      <c r="L89" s="74" t="str">
        <f>_xlfn.IFNA(VLOOKUP(MSSリスト!J89,社員リスト[],MATCH("名前",社員リスト[#Headers],0),FALSE),"")</f>
        <v/>
      </c>
      <c r="M89" s="526">
        <f>MSSリスト!K89</f>
        <v>0</v>
      </c>
      <c r="N89" s="76" t="str">
        <f>IF(MSSリスト!L89="","",_xlfn.IFNA(VLOOKUP(MSSリスト!L89,設計契約リスト[],MATCH("設計契約",設計契約リスト[#Headers],0),FALSE),""))</f>
        <v/>
      </c>
      <c r="O89" s="74" t="str">
        <f>_xlfn.IFNA(VLOOKUP(MSSリスト!M89,契約ブランドリスト[],MATCH("ブランド",契約ブランドリスト[#Headers],0),FALSE),"")</f>
        <v/>
      </c>
      <c r="P89" s="74">
        <f>MSSリスト!N89</f>
        <v>0</v>
      </c>
      <c r="Q89" s="77">
        <f>MSSリスト!O89</f>
        <v>0</v>
      </c>
      <c r="R89" s="77">
        <f>MSSリスト!P89</f>
        <v>0</v>
      </c>
      <c r="S89" s="77">
        <f>MSSリスト!Q89</f>
        <v>0</v>
      </c>
      <c r="T89" s="77">
        <f>MSSリスト!R89</f>
        <v>0</v>
      </c>
      <c r="U89" s="77">
        <f>MSSリスト!S89</f>
        <v>0</v>
      </c>
      <c r="V89" s="78">
        <f>MSSリスト!T89</f>
        <v>0</v>
      </c>
    </row>
    <row r="90" spans="4:22">
      <c r="D90" s="84" t="str">
        <f>IF(MSSリスト!B90&lt;&gt;"",HYPERLINK("https://nextoffice.next-hd.co.jp/pleasanter/items/"&amp;MSSリスト!B90&amp;"/edit","開く"),"")</f>
        <v/>
      </c>
      <c r="E90" s="76" t="str">
        <f>_xlfn.IFNA(VLOOKUP(MSSリスト!C90,ステータス一覧[],MATCH("ステータス",ステータス一覧[#Headers],0),FALSE),"")</f>
        <v/>
      </c>
      <c r="F90" s="75">
        <f>MSSリスト!D90</f>
        <v>0</v>
      </c>
      <c r="G90" s="76" t="str">
        <f>_xlfn.IFNA(VLOOKUP(MSSリスト!E90,シート分類一覧[],MATCH("種別",シート分類一覧[#Headers],0),FALSE),"")</f>
        <v/>
      </c>
      <c r="H90" s="74" t="str">
        <f>_xlfn.IFNA(VLOOKUP(MSSリスト!F90,営業所リスト[],MATCH("店舗名",営業所リスト[#Headers],0),FALSE),"")</f>
        <v/>
      </c>
      <c r="I90" s="74" t="str">
        <f>_xlfn.IFNA(VLOOKUP(MSSリスト!G90,社員リスト[],MATCH("名前",社員リスト[#Headers],0),FALSE),"")</f>
        <v/>
      </c>
      <c r="J90" s="74" t="str">
        <f>_xlfn.IFNA(VLOOKUP(MSSリスト!H90,社員リスト[],MATCH("名前",社員リスト[#Headers],0),FALSE),"")</f>
        <v/>
      </c>
      <c r="K90" s="74" t="str">
        <f>_xlfn.IFNA(VLOOKUP(MSSリスト!I90,社員リスト[],MATCH("名前",社員リスト[#Headers],0),FALSE),"")</f>
        <v/>
      </c>
      <c r="L90" s="74" t="str">
        <f>_xlfn.IFNA(VLOOKUP(MSSリスト!J90,社員リスト[],MATCH("名前",社員リスト[#Headers],0),FALSE),"")</f>
        <v/>
      </c>
      <c r="M90" s="526">
        <f>MSSリスト!K90</f>
        <v>0</v>
      </c>
      <c r="N90" s="76" t="str">
        <f>IF(MSSリスト!L90="","",_xlfn.IFNA(VLOOKUP(MSSリスト!L90,設計契約リスト[],MATCH("設計契約",設計契約リスト[#Headers],0),FALSE),""))</f>
        <v/>
      </c>
      <c r="O90" s="74" t="str">
        <f>_xlfn.IFNA(VLOOKUP(MSSリスト!M90,契約ブランドリスト[],MATCH("ブランド",契約ブランドリスト[#Headers],0),FALSE),"")</f>
        <v/>
      </c>
      <c r="P90" s="74">
        <f>MSSリスト!N90</f>
        <v>0</v>
      </c>
      <c r="Q90" s="77">
        <f>MSSリスト!O90</f>
        <v>0</v>
      </c>
      <c r="R90" s="77">
        <f>MSSリスト!P90</f>
        <v>0</v>
      </c>
      <c r="S90" s="77">
        <f>MSSリスト!Q90</f>
        <v>0</v>
      </c>
      <c r="T90" s="77">
        <f>MSSリスト!R90</f>
        <v>0</v>
      </c>
      <c r="U90" s="77">
        <f>MSSリスト!S90</f>
        <v>0</v>
      </c>
      <c r="V90" s="78">
        <f>MSSリスト!T90</f>
        <v>0</v>
      </c>
    </row>
    <row r="91" spans="4:22">
      <c r="D91" s="84" t="str">
        <f>IF(MSSリスト!B91&lt;&gt;"",HYPERLINK("https://nextoffice.next-hd.co.jp/pleasanter/items/"&amp;MSSリスト!B91&amp;"/edit","開く"),"")</f>
        <v/>
      </c>
      <c r="E91" s="76" t="str">
        <f>_xlfn.IFNA(VLOOKUP(MSSリスト!C91,ステータス一覧[],MATCH("ステータス",ステータス一覧[#Headers],0),FALSE),"")</f>
        <v/>
      </c>
      <c r="F91" s="75">
        <f>MSSリスト!D91</f>
        <v>0</v>
      </c>
      <c r="G91" s="76" t="str">
        <f>_xlfn.IFNA(VLOOKUP(MSSリスト!E91,シート分類一覧[],MATCH("種別",シート分類一覧[#Headers],0),FALSE),"")</f>
        <v/>
      </c>
      <c r="H91" s="74" t="str">
        <f>_xlfn.IFNA(VLOOKUP(MSSリスト!F91,営業所リスト[],MATCH("店舗名",営業所リスト[#Headers],0),FALSE),"")</f>
        <v/>
      </c>
      <c r="I91" s="74" t="str">
        <f>_xlfn.IFNA(VLOOKUP(MSSリスト!G91,社員リスト[],MATCH("名前",社員リスト[#Headers],0),FALSE),"")</f>
        <v/>
      </c>
      <c r="J91" s="74" t="str">
        <f>_xlfn.IFNA(VLOOKUP(MSSリスト!H91,社員リスト[],MATCH("名前",社員リスト[#Headers],0),FALSE),"")</f>
        <v/>
      </c>
      <c r="K91" s="74" t="str">
        <f>_xlfn.IFNA(VLOOKUP(MSSリスト!I91,社員リスト[],MATCH("名前",社員リスト[#Headers],0),FALSE),"")</f>
        <v/>
      </c>
      <c r="L91" s="74" t="str">
        <f>_xlfn.IFNA(VLOOKUP(MSSリスト!J91,社員リスト[],MATCH("名前",社員リスト[#Headers],0),FALSE),"")</f>
        <v/>
      </c>
      <c r="M91" s="526">
        <f>MSSリスト!K91</f>
        <v>0</v>
      </c>
      <c r="N91" s="76" t="str">
        <f>IF(MSSリスト!L91="","",_xlfn.IFNA(VLOOKUP(MSSリスト!L91,設計契約リスト[],MATCH("設計契約",設計契約リスト[#Headers],0),FALSE),""))</f>
        <v/>
      </c>
      <c r="O91" s="74" t="str">
        <f>_xlfn.IFNA(VLOOKUP(MSSリスト!M91,契約ブランドリスト[],MATCH("ブランド",契約ブランドリスト[#Headers],0),FALSE),"")</f>
        <v/>
      </c>
      <c r="P91" s="74">
        <f>MSSリスト!N91</f>
        <v>0</v>
      </c>
      <c r="Q91" s="77">
        <f>MSSリスト!O91</f>
        <v>0</v>
      </c>
      <c r="R91" s="77">
        <f>MSSリスト!P91</f>
        <v>0</v>
      </c>
      <c r="S91" s="77">
        <f>MSSリスト!Q91</f>
        <v>0</v>
      </c>
      <c r="T91" s="77">
        <f>MSSリスト!R91</f>
        <v>0</v>
      </c>
      <c r="U91" s="77">
        <f>MSSリスト!S91</f>
        <v>0</v>
      </c>
      <c r="V91" s="78">
        <f>MSSリスト!T91</f>
        <v>0</v>
      </c>
    </row>
    <row r="92" spans="4:22">
      <c r="D92" s="84" t="str">
        <f>IF(MSSリスト!B92&lt;&gt;"",HYPERLINK("https://nextoffice.next-hd.co.jp/pleasanter/items/"&amp;MSSリスト!B92&amp;"/edit","開く"),"")</f>
        <v/>
      </c>
      <c r="E92" s="76" t="str">
        <f>_xlfn.IFNA(VLOOKUP(MSSリスト!C92,ステータス一覧[],MATCH("ステータス",ステータス一覧[#Headers],0),FALSE),"")</f>
        <v/>
      </c>
      <c r="F92" s="75">
        <f>MSSリスト!D92</f>
        <v>0</v>
      </c>
      <c r="G92" s="76" t="str">
        <f>_xlfn.IFNA(VLOOKUP(MSSリスト!E92,シート分類一覧[],MATCH("種別",シート分類一覧[#Headers],0),FALSE),"")</f>
        <v/>
      </c>
      <c r="H92" s="74" t="str">
        <f>_xlfn.IFNA(VLOOKUP(MSSリスト!F92,営業所リスト[],MATCH("店舗名",営業所リスト[#Headers],0),FALSE),"")</f>
        <v/>
      </c>
      <c r="I92" s="74" t="str">
        <f>_xlfn.IFNA(VLOOKUP(MSSリスト!G92,社員リスト[],MATCH("名前",社員リスト[#Headers],0),FALSE),"")</f>
        <v/>
      </c>
      <c r="J92" s="74" t="str">
        <f>_xlfn.IFNA(VLOOKUP(MSSリスト!H92,社員リスト[],MATCH("名前",社員リスト[#Headers],0),FALSE),"")</f>
        <v/>
      </c>
      <c r="K92" s="74" t="str">
        <f>_xlfn.IFNA(VLOOKUP(MSSリスト!I92,社員リスト[],MATCH("名前",社員リスト[#Headers],0),FALSE),"")</f>
        <v/>
      </c>
      <c r="L92" s="74" t="str">
        <f>_xlfn.IFNA(VLOOKUP(MSSリスト!J92,社員リスト[],MATCH("名前",社員リスト[#Headers],0),FALSE),"")</f>
        <v/>
      </c>
      <c r="M92" s="526">
        <f>MSSリスト!K92</f>
        <v>0</v>
      </c>
      <c r="N92" s="76" t="str">
        <f>IF(MSSリスト!L92="","",_xlfn.IFNA(VLOOKUP(MSSリスト!L92,設計契約リスト[],MATCH("設計契約",設計契約リスト[#Headers],0),FALSE),""))</f>
        <v/>
      </c>
      <c r="O92" s="74" t="str">
        <f>_xlfn.IFNA(VLOOKUP(MSSリスト!M92,契約ブランドリスト[],MATCH("ブランド",契約ブランドリスト[#Headers],0),FALSE),"")</f>
        <v/>
      </c>
      <c r="P92" s="74">
        <f>MSSリスト!N92</f>
        <v>0</v>
      </c>
      <c r="Q92" s="77">
        <f>MSSリスト!O92</f>
        <v>0</v>
      </c>
      <c r="R92" s="77">
        <f>MSSリスト!P92</f>
        <v>0</v>
      </c>
      <c r="S92" s="77">
        <f>MSSリスト!Q92</f>
        <v>0</v>
      </c>
      <c r="T92" s="77">
        <f>MSSリスト!R92</f>
        <v>0</v>
      </c>
      <c r="U92" s="77">
        <f>MSSリスト!S92</f>
        <v>0</v>
      </c>
      <c r="V92" s="78">
        <f>MSSリスト!T92</f>
        <v>0</v>
      </c>
    </row>
    <row r="93" spans="4:22">
      <c r="D93" s="84" t="str">
        <f>IF(MSSリスト!B93&lt;&gt;"",HYPERLINK("https://nextoffice.next-hd.co.jp/pleasanter/items/"&amp;MSSリスト!B93&amp;"/edit","開く"),"")</f>
        <v/>
      </c>
      <c r="E93" s="76" t="str">
        <f>_xlfn.IFNA(VLOOKUP(MSSリスト!C93,ステータス一覧[],MATCH("ステータス",ステータス一覧[#Headers],0),FALSE),"")</f>
        <v/>
      </c>
      <c r="F93" s="75">
        <f>MSSリスト!D93</f>
        <v>0</v>
      </c>
      <c r="G93" s="76" t="str">
        <f>_xlfn.IFNA(VLOOKUP(MSSリスト!E93,シート分類一覧[],MATCH("種別",シート分類一覧[#Headers],0),FALSE),"")</f>
        <v/>
      </c>
      <c r="H93" s="74" t="str">
        <f>_xlfn.IFNA(VLOOKUP(MSSリスト!F93,営業所リスト[],MATCH("店舗名",営業所リスト[#Headers],0),FALSE),"")</f>
        <v/>
      </c>
      <c r="I93" s="74" t="str">
        <f>_xlfn.IFNA(VLOOKUP(MSSリスト!G93,社員リスト[],MATCH("名前",社員リスト[#Headers],0),FALSE),"")</f>
        <v/>
      </c>
      <c r="J93" s="74" t="str">
        <f>_xlfn.IFNA(VLOOKUP(MSSリスト!H93,社員リスト[],MATCH("名前",社員リスト[#Headers],0),FALSE),"")</f>
        <v/>
      </c>
      <c r="K93" s="74" t="str">
        <f>_xlfn.IFNA(VLOOKUP(MSSリスト!I93,社員リスト[],MATCH("名前",社員リスト[#Headers],0),FALSE),"")</f>
        <v/>
      </c>
      <c r="L93" s="74" t="str">
        <f>_xlfn.IFNA(VLOOKUP(MSSリスト!J93,社員リスト[],MATCH("名前",社員リスト[#Headers],0),FALSE),"")</f>
        <v/>
      </c>
      <c r="M93" s="526">
        <f>MSSリスト!K93</f>
        <v>0</v>
      </c>
      <c r="N93" s="76" t="str">
        <f>IF(MSSリスト!L93="","",_xlfn.IFNA(VLOOKUP(MSSリスト!L93,設計契約リスト[],MATCH("設計契約",設計契約リスト[#Headers],0),FALSE),""))</f>
        <v/>
      </c>
      <c r="O93" s="74" t="str">
        <f>_xlfn.IFNA(VLOOKUP(MSSリスト!M93,契約ブランドリスト[],MATCH("ブランド",契約ブランドリスト[#Headers],0),FALSE),"")</f>
        <v/>
      </c>
      <c r="P93" s="74">
        <f>MSSリスト!N93</f>
        <v>0</v>
      </c>
      <c r="Q93" s="77">
        <f>MSSリスト!O93</f>
        <v>0</v>
      </c>
      <c r="R93" s="77">
        <f>MSSリスト!P93</f>
        <v>0</v>
      </c>
      <c r="S93" s="77">
        <f>MSSリスト!Q93</f>
        <v>0</v>
      </c>
      <c r="T93" s="77">
        <f>MSSリスト!R93</f>
        <v>0</v>
      </c>
      <c r="U93" s="77">
        <f>MSSリスト!S93</f>
        <v>0</v>
      </c>
      <c r="V93" s="78">
        <f>MSSリスト!T93</f>
        <v>0</v>
      </c>
    </row>
    <row r="94" spans="4:22">
      <c r="D94" s="84" t="str">
        <f>IF(MSSリスト!B94&lt;&gt;"",HYPERLINK("https://nextoffice.next-hd.co.jp/pleasanter/items/"&amp;MSSリスト!B94&amp;"/edit","開く"),"")</f>
        <v/>
      </c>
      <c r="E94" s="76" t="str">
        <f>_xlfn.IFNA(VLOOKUP(MSSリスト!C94,ステータス一覧[],MATCH("ステータス",ステータス一覧[#Headers],0),FALSE),"")</f>
        <v/>
      </c>
      <c r="F94" s="75">
        <f>MSSリスト!D94</f>
        <v>0</v>
      </c>
      <c r="G94" s="76" t="str">
        <f>_xlfn.IFNA(VLOOKUP(MSSリスト!E94,シート分類一覧[],MATCH("種別",シート分類一覧[#Headers],0),FALSE),"")</f>
        <v/>
      </c>
      <c r="H94" s="74" t="str">
        <f>_xlfn.IFNA(VLOOKUP(MSSリスト!F94,営業所リスト[],MATCH("店舗名",営業所リスト[#Headers],0),FALSE),"")</f>
        <v/>
      </c>
      <c r="I94" s="74" t="str">
        <f>_xlfn.IFNA(VLOOKUP(MSSリスト!G94,社員リスト[],MATCH("名前",社員リスト[#Headers],0),FALSE),"")</f>
        <v/>
      </c>
      <c r="J94" s="74" t="str">
        <f>_xlfn.IFNA(VLOOKUP(MSSリスト!H94,社員リスト[],MATCH("名前",社員リスト[#Headers],0),FALSE),"")</f>
        <v/>
      </c>
      <c r="K94" s="74" t="str">
        <f>_xlfn.IFNA(VLOOKUP(MSSリスト!I94,社員リスト[],MATCH("名前",社員リスト[#Headers],0),FALSE),"")</f>
        <v/>
      </c>
      <c r="L94" s="74" t="str">
        <f>_xlfn.IFNA(VLOOKUP(MSSリスト!J94,社員リスト[],MATCH("名前",社員リスト[#Headers],0),FALSE),"")</f>
        <v/>
      </c>
      <c r="M94" s="526">
        <f>MSSリスト!K94</f>
        <v>0</v>
      </c>
      <c r="N94" s="76" t="str">
        <f>IF(MSSリスト!L94="","",_xlfn.IFNA(VLOOKUP(MSSリスト!L94,設計契約リスト[],MATCH("設計契約",設計契約リスト[#Headers],0),FALSE),""))</f>
        <v/>
      </c>
      <c r="O94" s="74" t="str">
        <f>_xlfn.IFNA(VLOOKUP(MSSリスト!M94,契約ブランドリスト[],MATCH("ブランド",契約ブランドリスト[#Headers],0),FALSE),"")</f>
        <v/>
      </c>
      <c r="P94" s="74">
        <f>MSSリスト!N94</f>
        <v>0</v>
      </c>
      <c r="Q94" s="77">
        <f>MSSリスト!O94</f>
        <v>0</v>
      </c>
      <c r="R94" s="77">
        <f>MSSリスト!P94</f>
        <v>0</v>
      </c>
      <c r="S94" s="77">
        <f>MSSリスト!Q94</f>
        <v>0</v>
      </c>
      <c r="T94" s="77">
        <f>MSSリスト!R94</f>
        <v>0</v>
      </c>
      <c r="U94" s="77">
        <f>MSSリスト!S94</f>
        <v>0</v>
      </c>
      <c r="V94" s="78">
        <f>MSSリスト!T94</f>
        <v>0</v>
      </c>
    </row>
    <row r="95" spans="4:22">
      <c r="D95" s="84" t="str">
        <f>IF(MSSリスト!B95&lt;&gt;"",HYPERLINK("https://nextoffice.next-hd.co.jp/pleasanter/items/"&amp;MSSリスト!B95&amp;"/edit","開く"),"")</f>
        <v/>
      </c>
      <c r="E95" s="76" t="str">
        <f>_xlfn.IFNA(VLOOKUP(MSSリスト!C95,ステータス一覧[],MATCH("ステータス",ステータス一覧[#Headers],0),FALSE),"")</f>
        <v/>
      </c>
      <c r="F95" s="75">
        <f>MSSリスト!D95</f>
        <v>0</v>
      </c>
      <c r="G95" s="76" t="str">
        <f>_xlfn.IFNA(VLOOKUP(MSSリスト!E95,シート分類一覧[],MATCH("種別",シート分類一覧[#Headers],0),FALSE),"")</f>
        <v/>
      </c>
      <c r="H95" s="74" t="str">
        <f>_xlfn.IFNA(VLOOKUP(MSSリスト!F95,営業所リスト[],MATCH("店舗名",営業所リスト[#Headers],0),FALSE),"")</f>
        <v/>
      </c>
      <c r="I95" s="74" t="str">
        <f>_xlfn.IFNA(VLOOKUP(MSSリスト!G95,社員リスト[],MATCH("名前",社員リスト[#Headers],0),FALSE),"")</f>
        <v/>
      </c>
      <c r="J95" s="74" t="str">
        <f>_xlfn.IFNA(VLOOKUP(MSSリスト!H95,社員リスト[],MATCH("名前",社員リスト[#Headers],0),FALSE),"")</f>
        <v/>
      </c>
      <c r="K95" s="74" t="str">
        <f>_xlfn.IFNA(VLOOKUP(MSSリスト!I95,社員リスト[],MATCH("名前",社員リスト[#Headers],0),FALSE),"")</f>
        <v/>
      </c>
      <c r="L95" s="74" t="str">
        <f>_xlfn.IFNA(VLOOKUP(MSSリスト!J95,社員リスト[],MATCH("名前",社員リスト[#Headers],0),FALSE),"")</f>
        <v/>
      </c>
      <c r="M95" s="526">
        <f>MSSリスト!K95</f>
        <v>0</v>
      </c>
      <c r="N95" s="76" t="str">
        <f>IF(MSSリスト!L95="","",_xlfn.IFNA(VLOOKUP(MSSリスト!L95,設計契約リスト[],MATCH("設計契約",設計契約リスト[#Headers],0),FALSE),""))</f>
        <v/>
      </c>
      <c r="O95" s="74" t="str">
        <f>_xlfn.IFNA(VLOOKUP(MSSリスト!M95,契約ブランドリスト[],MATCH("ブランド",契約ブランドリスト[#Headers],0),FALSE),"")</f>
        <v/>
      </c>
      <c r="P95" s="74">
        <f>MSSリスト!N95</f>
        <v>0</v>
      </c>
      <c r="Q95" s="77">
        <f>MSSリスト!O95</f>
        <v>0</v>
      </c>
      <c r="R95" s="77">
        <f>MSSリスト!P95</f>
        <v>0</v>
      </c>
      <c r="S95" s="77">
        <f>MSSリスト!Q95</f>
        <v>0</v>
      </c>
      <c r="T95" s="77">
        <f>MSSリスト!R95</f>
        <v>0</v>
      </c>
      <c r="U95" s="77">
        <f>MSSリスト!S95</f>
        <v>0</v>
      </c>
      <c r="V95" s="78">
        <f>MSSリスト!T95</f>
        <v>0</v>
      </c>
    </row>
    <row r="96" spans="4:22">
      <c r="D96" s="84" t="str">
        <f>IF(MSSリスト!B96&lt;&gt;"",HYPERLINK("https://nextoffice.next-hd.co.jp/pleasanter/items/"&amp;MSSリスト!B96&amp;"/edit","開く"),"")</f>
        <v/>
      </c>
      <c r="E96" s="76" t="str">
        <f>_xlfn.IFNA(VLOOKUP(MSSリスト!C96,ステータス一覧[],MATCH("ステータス",ステータス一覧[#Headers],0),FALSE),"")</f>
        <v/>
      </c>
      <c r="F96" s="75">
        <f>MSSリスト!D96</f>
        <v>0</v>
      </c>
      <c r="G96" s="76" t="str">
        <f>_xlfn.IFNA(VLOOKUP(MSSリスト!E96,シート分類一覧[],MATCH("種別",シート分類一覧[#Headers],0),FALSE),"")</f>
        <v/>
      </c>
      <c r="H96" s="74" t="str">
        <f>_xlfn.IFNA(VLOOKUP(MSSリスト!F96,営業所リスト[],MATCH("店舗名",営業所リスト[#Headers],0),FALSE),"")</f>
        <v/>
      </c>
      <c r="I96" s="74" t="str">
        <f>_xlfn.IFNA(VLOOKUP(MSSリスト!G96,社員リスト[],MATCH("名前",社員リスト[#Headers],0),FALSE),"")</f>
        <v/>
      </c>
      <c r="J96" s="74" t="str">
        <f>_xlfn.IFNA(VLOOKUP(MSSリスト!H96,社員リスト[],MATCH("名前",社員リスト[#Headers],0),FALSE),"")</f>
        <v/>
      </c>
      <c r="K96" s="74" t="str">
        <f>_xlfn.IFNA(VLOOKUP(MSSリスト!I96,社員リスト[],MATCH("名前",社員リスト[#Headers],0),FALSE),"")</f>
        <v/>
      </c>
      <c r="L96" s="74" t="str">
        <f>_xlfn.IFNA(VLOOKUP(MSSリスト!J96,社員リスト[],MATCH("名前",社員リスト[#Headers],0),FALSE),"")</f>
        <v/>
      </c>
      <c r="M96" s="526">
        <f>MSSリスト!K96</f>
        <v>0</v>
      </c>
      <c r="N96" s="76" t="str">
        <f>IF(MSSリスト!L96="","",_xlfn.IFNA(VLOOKUP(MSSリスト!L96,設計契約リスト[],MATCH("設計契約",設計契約リスト[#Headers],0),FALSE),""))</f>
        <v/>
      </c>
      <c r="O96" s="74" t="str">
        <f>_xlfn.IFNA(VLOOKUP(MSSリスト!M96,契約ブランドリスト[],MATCH("ブランド",契約ブランドリスト[#Headers],0),FALSE),"")</f>
        <v/>
      </c>
      <c r="P96" s="74">
        <f>MSSリスト!N96</f>
        <v>0</v>
      </c>
      <c r="Q96" s="77">
        <f>MSSリスト!O96</f>
        <v>0</v>
      </c>
      <c r="R96" s="77">
        <f>MSSリスト!P96</f>
        <v>0</v>
      </c>
      <c r="S96" s="77">
        <f>MSSリスト!Q96</f>
        <v>0</v>
      </c>
      <c r="T96" s="77">
        <f>MSSリスト!R96</f>
        <v>0</v>
      </c>
      <c r="U96" s="77">
        <f>MSSリスト!S96</f>
        <v>0</v>
      </c>
      <c r="V96" s="78">
        <f>MSSリスト!T96</f>
        <v>0</v>
      </c>
    </row>
    <row r="97" spans="4:22">
      <c r="D97" s="84" t="str">
        <f>IF(MSSリスト!B97&lt;&gt;"",HYPERLINK("https://nextoffice.next-hd.co.jp/pleasanter/items/"&amp;MSSリスト!B97&amp;"/edit","開く"),"")</f>
        <v/>
      </c>
      <c r="E97" s="76" t="str">
        <f>_xlfn.IFNA(VLOOKUP(MSSリスト!C97,ステータス一覧[],MATCH("ステータス",ステータス一覧[#Headers],0),FALSE),"")</f>
        <v/>
      </c>
      <c r="F97" s="75">
        <f>MSSリスト!D97</f>
        <v>0</v>
      </c>
      <c r="G97" s="76" t="str">
        <f>_xlfn.IFNA(VLOOKUP(MSSリスト!E97,シート分類一覧[],MATCH("種別",シート分類一覧[#Headers],0),FALSE),"")</f>
        <v/>
      </c>
      <c r="H97" s="74" t="str">
        <f>_xlfn.IFNA(VLOOKUP(MSSリスト!F97,営業所リスト[],MATCH("店舗名",営業所リスト[#Headers],0),FALSE),"")</f>
        <v/>
      </c>
      <c r="I97" s="74" t="str">
        <f>_xlfn.IFNA(VLOOKUP(MSSリスト!G97,社員リスト[],MATCH("名前",社員リスト[#Headers],0),FALSE),"")</f>
        <v/>
      </c>
      <c r="J97" s="74" t="str">
        <f>_xlfn.IFNA(VLOOKUP(MSSリスト!H97,社員リスト[],MATCH("名前",社員リスト[#Headers],0),FALSE),"")</f>
        <v/>
      </c>
      <c r="K97" s="74" t="str">
        <f>_xlfn.IFNA(VLOOKUP(MSSリスト!I97,社員リスト[],MATCH("名前",社員リスト[#Headers],0),FALSE),"")</f>
        <v/>
      </c>
      <c r="L97" s="74" t="str">
        <f>_xlfn.IFNA(VLOOKUP(MSSリスト!J97,社員リスト[],MATCH("名前",社員リスト[#Headers],0),FALSE),"")</f>
        <v/>
      </c>
      <c r="M97" s="526">
        <f>MSSリスト!K97</f>
        <v>0</v>
      </c>
      <c r="N97" s="76" t="str">
        <f>IF(MSSリスト!L97="","",_xlfn.IFNA(VLOOKUP(MSSリスト!L97,設計契約リスト[],MATCH("設計契約",設計契約リスト[#Headers],0),FALSE),""))</f>
        <v/>
      </c>
      <c r="O97" s="74" t="str">
        <f>_xlfn.IFNA(VLOOKUP(MSSリスト!M97,契約ブランドリスト[],MATCH("ブランド",契約ブランドリスト[#Headers],0),FALSE),"")</f>
        <v/>
      </c>
      <c r="P97" s="74">
        <f>MSSリスト!N97</f>
        <v>0</v>
      </c>
      <c r="Q97" s="77">
        <f>MSSリスト!O97</f>
        <v>0</v>
      </c>
      <c r="R97" s="77">
        <f>MSSリスト!P97</f>
        <v>0</v>
      </c>
      <c r="S97" s="77">
        <f>MSSリスト!Q97</f>
        <v>0</v>
      </c>
      <c r="T97" s="77">
        <f>MSSリスト!R97</f>
        <v>0</v>
      </c>
      <c r="U97" s="77">
        <f>MSSリスト!S97</f>
        <v>0</v>
      </c>
      <c r="V97" s="78">
        <f>MSSリスト!T97</f>
        <v>0</v>
      </c>
    </row>
    <row r="98" spans="4:22">
      <c r="D98" s="84" t="str">
        <f>IF(MSSリスト!B98&lt;&gt;"",HYPERLINK("https://nextoffice.next-hd.co.jp/pleasanter/items/"&amp;MSSリスト!B98&amp;"/edit","開く"),"")</f>
        <v/>
      </c>
      <c r="E98" s="76" t="str">
        <f>_xlfn.IFNA(VLOOKUP(MSSリスト!C98,ステータス一覧[],MATCH("ステータス",ステータス一覧[#Headers],0),FALSE),"")</f>
        <v/>
      </c>
      <c r="F98" s="75">
        <f>MSSリスト!D98</f>
        <v>0</v>
      </c>
      <c r="G98" s="76" t="str">
        <f>_xlfn.IFNA(VLOOKUP(MSSリスト!E98,シート分類一覧[],MATCH("種別",シート分類一覧[#Headers],0),FALSE),"")</f>
        <v/>
      </c>
      <c r="H98" s="74" t="str">
        <f>_xlfn.IFNA(VLOOKUP(MSSリスト!F98,営業所リスト[],MATCH("店舗名",営業所リスト[#Headers],0),FALSE),"")</f>
        <v/>
      </c>
      <c r="I98" s="74" t="str">
        <f>_xlfn.IFNA(VLOOKUP(MSSリスト!G98,社員リスト[],MATCH("名前",社員リスト[#Headers],0),FALSE),"")</f>
        <v/>
      </c>
      <c r="J98" s="74" t="str">
        <f>_xlfn.IFNA(VLOOKUP(MSSリスト!H98,社員リスト[],MATCH("名前",社員リスト[#Headers],0),FALSE),"")</f>
        <v/>
      </c>
      <c r="K98" s="74" t="str">
        <f>_xlfn.IFNA(VLOOKUP(MSSリスト!I98,社員リスト[],MATCH("名前",社員リスト[#Headers],0),FALSE),"")</f>
        <v/>
      </c>
      <c r="L98" s="74" t="str">
        <f>_xlfn.IFNA(VLOOKUP(MSSリスト!J98,社員リスト[],MATCH("名前",社員リスト[#Headers],0),FALSE),"")</f>
        <v/>
      </c>
      <c r="M98" s="526">
        <f>MSSリスト!K98</f>
        <v>0</v>
      </c>
      <c r="N98" s="76" t="str">
        <f>IF(MSSリスト!L98="","",_xlfn.IFNA(VLOOKUP(MSSリスト!L98,設計契約リスト[],MATCH("設計契約",設計契約リスト[#Headers],0),FALSE),""))</f>
        <v/>
      </c>
      <c r="O98" s="74" t="str">
        <f>_xlfn.IFNA(VLOOKUP(MSSリスト!M98,契約ブランドリスト[],MATCH("ブランド",契約ブランドリスト[#Headers],0),FALSE),"")</f>
        <v/>
      </c>
      <c r="P98" s="74">
        <f>MSSリスト!N98</f>
        <v>0</v>
      </c>
      <c r="Q98" s="77">
        <f>MSSリスト!O98</f>
        <v>0</v>
      </c>
      <c r="R98" s="77">
        <f>MSSリスト!P98</f>
        <v>0</v>
      </c>
      <c r="S98" s="77">
        <f>MSSリスト!Q98</f>
        <v>0</v>
      </c>
      <c r="T98" s="77">
        <f>MSSリスト!R98</f>
        <v>0</v>
      </c>
      <c r="U98" s="77">
        <f>MSSリスト!S98</f>
        <v>0</v>
      </c>
      <c r="V98" s="78">
        <f>MSSリスト!T98</f>
        <v>0</v>
      </c>
    </row>
    <row r="99" spans="4:22">
      <c r="D99" s="84" t="str">
        <f>IF(MSSリスト!B99&lt;&gt;"",HYPERLINK("https://nextoffice.next-hd.co.jp/pleasanter/items/"&amp;MSSリスト!B99&amp;"/edit","開く"),"")</f>
        <v/>
      </c>
      <c r="E99" s="76" t="str">
        <f>_xlfn.IFNA(VLOOKUP(MSSリスト!C99,ステータス一覧[],MATCH("ステータス",ステータス一覧[#Headers],0),FALSE),"")</f>
        <v/>
      </c>
      <c r="F99" s="75">
        <f>MSSリスト!D99</f>
        <v>0</v>
      </c>
      <c r="G99" s="76" t="str">
        <f>_xlfn.IFNA(VLOOKUP(MSSリスト!E99,シート分類一覧[],MATCH("種別",シート分類一覧[#Headers],0),FALSE),"")</f>
        <v/>
      </c>
      <c r="H99" s="74" t="str">
        <f>_xlfn.IFNA(VLOOKUP(MSSリスト!F99,営業所リスト[],MATCH("店舗名",営業所リスト[#Headers],0),FALSE),"")</f>
        <v/>
      </c>
      <c r="I99" s="74" t="str">
        <f>_xlfn.IFNA(VLOOKUP(MSSリスト!G99,社員リスト[],MATCH("名前",社員リスト[#Headers],0),FALSE),"")</f>
        <v/>
      </c>
      <c r="J99" s="74" t="str">
        <f>_xlfn.IFNA(VLOOKUP(MSSリスト!H99,社員リスト[],MATCH("名前",社員リスト[#Headers],0),FALSE),"")</f>
        <v/>
      </c>
      <c r="K99" s="74" t="str">
        <f>_xlfn.IFNA(VLOOKUP(MSSリスト!I99,社員リスト[],MATCH("名前",社員リスト[#Headers],0),FALSE),"")</f>
        <v/>
      </c>
      <c r="L99" s="74" t="str">
        <f>_xlfn.IFNA(VLOOKUP(MSSリスト!J99,社員リスト[],MATCH("名前",社員リスト[#Headers],0),FALSE),"")</f>
        <v/>
      </c>
      <c r="M99" s="526">
        <f>MSSリスト!K99</f>
        <v>0</v>
      </c>
      <c r="N99" s="76" t="str">
        <f>IF(MSSリスト!L99="","",_xlfn.IFNA(VLOOKUP(MSSリスト!L99,設計契約リスト[],MATCH("設計契約",設計契約リスト[#Headers],0),FALSE),""))</f>
        <v/>
      </c>
      <c r="O99" s="74" t="str">
        <f>_xlfn.IFNA(VLOOKUP(MSSリスト!M99,契約ブランドリスト[],MATCH("ブランド",契約ブランドリスト[#Headers],0),FALSE),"")</f>
        <v/>
      </c>
      <c r="P99" s="74">
        <f>MSSリスト!N99</f>
        <v>0</v>
      </c>
      <c r="Q99" s="77">
        <f>MSSリスト!O99</f>
        <v>0</v>
      </c>
      <c r="R99" s="77">
        <f>MSSリスト!P99</f>
        <v>0</v>
      </c>
      <c r="S99" s="77">
        <f>MSSリスト!Q99</f>
        <v>0</v>
      </c>
      <c r="T99" s="77">
        <f>MSSリスト!R99</f>
        <v>0</v>
      </c>
      <c r="U99" s="77">
        <f>MSSリスト!S99</f>
        <v>0</v>
      </c>
      <c r="V99" s="78">
        <f>MSSリスト!T99</f>
        <v>0</v>
      </c>
    </row>
    <row r="100" spans="4:22">
      <c r="D100" s="84" t="str">
        <f>IF(MSSリスト!B100&lt;&gt;"",HYPERLINK("https://nextoffice.next-hd.co.jp/pleasanter/items/"&amp;MSSリスト!B100&amp;"/edit","開く"),"")</f>
        <v/>
      </c>
      <c r="E100" s="76" t="str">
        <f>_xlfn.IFNA(VLOOKUP(MSSリスト!C100,ステータス一覧[],MATCH("ステータス",ステータス一覧[#Headers],0),FALSE),"")</f>
        <v/>
      </c>
      <c r="F100" s="75">
        <f>MSSリスト!D100</f>
        <v>0</v>
      </c>
      <c r="G100" s="76" t="str">
        <f>_xlfn.IFNA(VLOOKUP(MSSリスト!E100,シート分類一覧[],MATCH("種別",シート分類一覧[#Headers],0),FALSE),"")</f>
        <v/>
      </c>
      <c r="H100" s="74" t="str">
        <f>_xlfn.IFNA(VLOOKUP(MSSリスト!F100,営業所リスト[],MATCH("店舗名",営業所リスト[#Headers],0),FALSE),"")</f>
        <v/>
      </c>
      <c r="I100" s="74" t="str">
        <f>_xlfn.IFNA(VLOOKUP(MSSリスト!G100,社員リスト[],MATCH("名前",社員リスト[#Headers],0),FALSE),"")</f>
        <v/>
      </c>
      <c r="J100" s="74" t="str">
        <f>_xlfn.IFNA(VLOOKUP(MSSリスト!H100,社員リスト[],MATCH("名前",社員リスト[#Headers],0),FALSE),"")</f>
        <v/>
      </c>
      <c r="K100" s="74" t="str">
        <f>_xlfn.IFNA(VLOOKUP(MSSリスト!I100,社員リスト[],MATCH("名前",社員リスト[#Headers],0),FALSE),"")</f>
        <v/>
      </c>
      <c r="L100" s="74" t="str">
        <f>_xlfn.IFNA(VLOOKUP(MSSリスト!J100,社員リスト[],MATCH("名前",社員リスト[#Headers],0),FALSE),"")</f>
        <v/>
      </c>
      <c r="M100" s="526">
        <f>MSSリスト!K100</f>
        <v>0</v>
      </c>
      <c r="N100" s="76" t="str">
        <f>IF(MSSリスト!L100="","",_xlfn.IFNA(VLOOKUP(MSSリスト!L100,設計契約リスト[],MATCH("設計契約",設計契約リスト[#Headers],0),FALSE),""))</f>
        <v/>
      </c>
      <c r="O100" s="74" t="str">
        <f>_xlfn.IFNA(VLOOKUP(MSSリスト!M100,契約ブランドリスト[],MATCH("ブランド",契約ブランドリスト[#Headers],0),FALSE),"")</f>
        <v/>
      </c>
      <c r="P100" s="74">
        <f>MSSリスト!N100</f>
        <v>0</v>
      </c>
      <c r="Q100" s="77">
        <f>MSSリスト!O100</f>
        <v>0</v>
      </c>
      <c r="R100" s="77">
        <f>MSSリスト!P100</f>
        <v>0</v>
      </c>
      <c r="S100" s="77">
        <f>MSSリスト!Q100</f>
        <v>0</v>
      </c>
      <c r="T100" s="77">
        <f>MSSリスト!R100</f>
        <v>0</v>
      </c>
      <c r="U100" s="77">
        <f>MSSリスト!S100</f>
        <v>0</v>
      </c>
      <c r="V100" s="78">
        <f>MSSリスト!T100</f>
        <v>0</v>
      </c>
    </row>
    <row r="101" spans="4:22">
      <c r="D101" s="84" t="str">
        <f>IF(MSSリスト!B101&lt;&gt;"",HYPERLINK("https://nextoffice.next-hd.co.jp/pleasanter/items/"&amp;MSSリスト!B101&amp;"/edit","開く"),"")</f>
        <v/>
      </c>
      <c r="E101" s="76" t="str">
        <f>_xlfn.IFNA(VLOOKUP(MSSリスト!C101,ステータス一覧[],MATCH("ステータス",ステータス一覧[#Headers],0),FALSE),"")</f>
        <v/>
      </c>
      <c r="F101" s="75">
        <f>MSSリスト!D101</f>
        <v>0</v>
      </c>
      <c r="G101" s="76" t="str">
        <f>_xlfn.IFNA(VLOOKUP(MSSリスト!E101,シート分類一覧[],MATCH("種別",シート分類一覧[#Headers],0),FALSE),"")</f>
        <v/>
      </c>
      <c r="H101" s="74" t="str">
        <f>_xlfn.IFNA(VLOOKUP(MSSリスト!F101,営業所リスト[],MATCH("店舗名",営業所リスト[#Headers],0),FALSE),"")</f>
        <v/>
      </c>
      <c r="I101" s="74" t="str">
        <f>_xlfn.IFNA(VLOOKUP(MSSリスト!G101,社員リスト[],MATCH("名前",社員リスト[#Headers],0),FALSE),"")</f>
        <v/>
      </c>
      <c r="J101" s="74" t="str">
        <f>_xlfn.IFNA(VLOOKUP(MSSリスト!H101,社員リスト[],MATCH("名前",社員リスト[#Headers],0),FALSE),"")</f>
        <v/>
      </c>
      <c r="K101" s="74" t="str">
        <f>_xlfn.IFNA(VLOOKUP(MSSリスト!I101,社員リスト[],MATCH("名前",社員リスト[#Headers],0),FALSE),"")</f>
        <v/>
      </c>
      <c r="L101" s="74" t="str">
        <f>_xlfn.IFNA(VLOOKUP(MSSリスト!J101,社員リスト[],MATCH("名前",社員リスト[#Headers],0),FALSE),"")</f>
        <v/>
      </c>
      <c r="M101" s="526">
        <f>MSSリスト!K101</f>
        <v>0</v>
      </c>
      <c r="N101" s="76" t="str">
        <f>IF(MSSリスト!L101="","",_xlfn.IFNA(VLOOKUP(MSSリスト!L101,設計契約リスト[],MATCH("設計契約",設計契約リスト[#Headers],0),FALSE),""))</f>
        <v/>
      </c>
      <c r="O101" s="74" t="str">
        <f>_xlfn.IFNA(VLOOKUP(MSSリスト!M101,契約ブランドリスト[],MATCH("ブランド",契約ブランドリスト[#Headers],0),FALSE),"")</f>
        <v/>
      </c>
      <c r="P101" s="74">
        <f>MSSリスト!N101</f>
        <v>0</v>
      </c>
      <c r="Q101" s="77">
        <f>MSSリスト!O101</f>
        <v>0</v>
      </c>
      <c r="R101" s="77">
        <f>MSSリスト!P101</f>
        <v>0</v>
      </c>
      <c r="S101" s="77">
        <f>MSSリスト!Q101</f>
        <v>0</v>
      </c>
      <c r="T101" s="77">
        <f>MSSリスト!R101</f>
        <v>0</v>
      </c>
      <c r="U101" s="77">
        <f>MSSリスト!S101</f>
        <v>0</v>
      </c>
      <c r="V101" s="78">
        <f>MSSリスト!T101</f>
        <v>0</v>
      </c>
    </row>
    <row r="102" spans="4:22">
      <c r="D102" s="84" t="str">
        <f>IF(MSSリスト!B102&lt;&gt;"",HYPERLINK("https://nextoffice.next-hd.co.jp/pleasanter/items/"&amp;MSSリスト!B102&amp;"/edit","開く"),"")</f>
        <v/>
      </c>
      <c r="E102" s="76" t="str">
        <f>_xlfn.IFNA(VLOOKUP(MSSリスト!C102,ステータス一覧[],MATCH("ステータス",ステータス一覧[#Headers],0),FALSE),"")</f>
        <v/>
      </c>
      <c r="F102" s="75">
        <f>MSSリスト!D102</f>
        <v>0</v>
      </c>
      <c r="G102" s="76" t="str">
        <f>_xlfn.IFNA(VLOOKUP(MSSリスト!E102,シート分類一覧[],MATCH("種別",シート分類一覧[#Headers],0),FALSE),"")</f>
        <v/>
      </c>
      <c r="H102" s="74" t="str">
        <f>_xlfn.IFNA(VLOOKUP(MSSリスト!F102,営業所リスト[],MATCH("店舗名",営業所リスト[#Headers],0),FALSE),"")</f>
        <v/>
      </c>
      <c r="I102" s="74" t="str">
        <f>_xlfn.IFNA(VLOOKUP(MSSリスト!G102,社員リスト[],MATCH("名前",社員リスト[#Headers],0),FALSE),"")</f>
        <v/>
      </c>
      <c r="J102" s="74" t="str">
        <f>_xlfn.IFNA(VLOOKUP(MSSリスト!H102,社員リスト[],MATCH("名前",社員リスト[#Headers],0),FALSE),"")</f>
        <v/>
      </c>
      <c r="K102" s="74" t="str">
        <f>_xlfn.IFNA(VLOOKUP(MSSリスト!I102,社員リスト[],MATCH("名前",社員リスト[#Headers],0),FALSE),"")</f>
        <v/>
      </c>
      <c r="L102" s="74" t="str">
        <f>_xlfn.IFNA(VLOOKUP(MSSリスト!J102,社員リスト[],MATCH("名前",社員リスト[#Headers],0),FALSE),"")</f>
        <v/>
      </c>
      <c r="M102" s="526">
        <f>MSSリスト!K102</f>
        <v>0</v>
      </c>
      <c r="N102" s="76" t="str">
        <f>IF(MSSリスト!L102="","",_xlfn.IFNA(VLOOKUP(MSSリスト!L102,設計契約リスト[],MATCH("設計契約",設計契約リスト[#Headers],0),FALSE),""))</f>
        <v/>
      </c>
      <c r="O102" s="74" t="str">
        <f>_xlfn.IFNA(VLOOKUP(MSSリスト!M102,契約ブランドリスト[],MATCH("ブランド",契約ブランドリスト[#Headers],0),FALSE),"")</f>
        <v/>
      </c>
      <c r="P102" s="74">
        <f>MSSリスト!N102</f>
        <v>0</v>
      </c>
      <c r="Q102" s="77">
        <f>MSSリスト!O102</f>
        <v>0</v>
      </c>
      <c r="R102" s="77">
        <f>MSSリスト!P102</f>
        <v>0</v>
      </c>
      <c r="S102" s="77">
        <f>MSSリスト!Q102</f>
        <v>0</v>
      </c>
      <c r="T102" s="77">
        <f>MSSリスト!R102</f>
        <v>0</v>
      </c>
      <c r="U102" s="77">
        <f>MSSリスト!S102</f>
        <v>0</v>
      </c>
      <c r="V102" s="78">
        <f>MSSリスト!T102</f>
        <v>0</v>
      </c>
    </row>
    <row r="103" spans="4:22">
      <c r="D103" s="84" t="str">
        <f>IF(MSSリスト!B103&lt;&gt;"",HYPERLINK("https://nextoffice.next-hd.co.jp/pleasanter/items/"&amp;MSSリスト!B103&amp;"/edit","開く"),"")</f>
        <v/>
      </c>
      <c r="E103" s="76" t="str">
        <f>_xlfn.IFNA(VLOOKUP(MSSリスト!C103,ステータス一覧[],MATCH("ステータス",ステータス一覧[#Headers],0),FALSE),"")</f>
        <v/>
      </c>
      <c r="F103" s="75">
        <f>MSSリスト!D103</f>
        <v>0</v>
      </c>
      <c r="G103" s="76" t="str">
        <f>_xlfn.IFNA(VLOOKUP(MSSリスト!E103,シート分類一覧[],MATCH("種別",シート分類一覧[#Headers],0),FALSE),"")</f>
        <v/>
      </c>
      <c r="H103" s="74" t="str">
        <f>_xlfn.IFNA(VLOOKUP(MSSリスト!F103,営業所リスト[],MATCH("店舗名",営業所リスト[#Headers],0),FALSE),"")</f>
        <v/>
      </c>
      <c r="I103" s="74" t="str">
        <f>_xlfn.IFNA(VLOOKUP(MSSリスト!G103,社員リスト[],MATCH("名前",社員リスト[#Headers],0),FALSE),"")</f>
        <v/>
      </c>
      <c r="J103" s="74" t="str">
        <f>_xlfn.IFNA(VLOOKUP(MSSリスト!H103,社員リスト[],MATCH("名前",社員リスト[#Headers],0),FALSE),"")</f>
        <v/>
      </c>
      <c r="K103" s="74" t="str">
        <f>_xlfn.IFNA(VLOOKUP(MSSリスト!I103,社員リスト[],MATCH("名前",社員リスト[#Headers],0),FALSE),"")</f>
        <v/>
      </c>
      <c r="L103" s="74" t="str">
        <f>_xlfn.IFNA(VLOOKUP(MSSリスト!J103,社員リスト[],MATCH("名前",社員リスト[#Headers],0),FALSE),"")</f>
        <v/>
      </c>
      <c r="M103" s="526">
        <f>MSSリスト!K103</f>
        <v>0</v>
      </c>
      <c r="N103" s="76" t="str">
        <f>IF(MSSリスト!L103="","",_xlfn.IFNA(VLOOKUP(MSSリスト!L103,設計契約リスト[],MATCH("設計契約",設計契約リスト[#Headers],0),FALSE),""))</f>
        <v/>
      </c>
      <c r="O103" s="74" t="str">
        <f>_xlfn.IFNA(VLOOKUP(MSSリスト!M103,契約ブランドリスト[],MATCH("ブランド",契約ブランドリスト[#Headers],0),FALSE),"")</f>
        <v/>
      </c>
      <c r="P103" s="74">
        <f>MSSリスト!N103</f>
        <v>0</v>
      </c>
      <c r="Q103" s="77">
        <f>MSSリスト!O103</f>
        <v>0</v>
      </c>
      <c r="R103" s="77">
        <f>MSSリスト!P103</f>
        <v>0</v>
      </c>
      <c r="S103" s="77">
        <f>MSSリスト!Q103</f>
        <v>0</v>
      </c>
      <c r="T103" s="77">
        <f>MSSリスト!R103</f>
        <v>0</v>
      </c>
      <c r="U103" s="77">
        <f>MSSリスト!S103</f>
        <v>0</v>
      </c>
      <c r="V103" s="78">
        <f>MSSリスト!T103</f>
        <v>0</v>
      </c>
    </row>
    <row r="104" spans="4:22">
      <c r="D104" s="84" t="str">
        <f>IF(MSSリスト!B104&lt;&gt;"",HYPERLINK("https://nextoffice.next-hd.co.jp/pleasanter/items/"&amp;MSSリスト!B104&amp;"/edit","開く"),"")</f>
        <v/>
      </c>
      <c r="E104" s="76" t="str">
        <f>_xlfn.IFNA(VLOOKUP(MSSリスト!C104,ステータス一覧[],MATCH("ステータス",ステータス一覧[#Headers],0),FALSE),"")</f>
        <v/>
      </c>
      <c r="F104" s="75">
        <f>MSSリスト!D104</f>
        <v>0</v>
      </c>
      <c r="G104" s="76" t="str">
        <f>_xlfn.IFNA(VLOOKUP(MSSリスト!E104,シート分類一覧[],MATCH("種別",シート分類一覧[#Headers],0),FALSE),"")</f>
        <v/>
      </c>
      <c r="H104" s="74" t="str">
        <f>_xlfn.IFNA(VLOOKUP(MSSリスト!F104,営業所リスト[],MATCH("店舗名",営業所リスト[#Headers],0),FALSE),"")</f>
        <v/>
      </c>
      <c r="I104" s="74" t="str">
        <f>_xlfn.IFNA(VLOOKUP(MSSリスト!G104,社員リスト[],MATCH("名前",社員リスト[#Headers],0),FALSE),"")</f>
        <v/>
      </c>
      <c r="J104" s="74" t="str">
        <f>_xlfn.IFNA(VLOOKUP(MSSリスト!H104,社員リスト[],MATCH("名前",社員リスト[#Headers],0),FALSE),"")</f>
        <v/>
      </c>
      <c r="K104" s="74" t="str">
        <f>_xlfn.IFNA(VLOOKUP(MSSリスト!I104,社員リスト[],MATCH("名前",社員リスト[#Headers],0),FALSE),"")</f>
        <v/>
      </c>
      <c r="L104" s="74" t="str">
        <f>_xlfn.IFNA(VLOOKUP(MSSリスト!J104,社員リスト[],MATCH("名前",社員リスト[#Headers],0),FALSE),"")</f>
        <v/>
      </c>
      <c r="M104" s="526">
        <f>MSSリスト!K104</f>
        <v>0</v>
      </c>
      <c r="N104" s="76" t="str">
        <f>IF(MSSリスト!L104="","",_xlfn.IFNA(VLOOKUP(MSSリスト!L104,設計契約リスト[],MATCH("設計契約",設計契約リスト[#Headers],0),FALSE),""))</f>
        <v/>
      </c>
      <c r="O104" s="74" t="str">
        <f>_xlfn.IFNA(VLOOKUP(MSSリスト!M104,契約ブランドリスト[],MATCH("ブランド",契約ブランドリスト[#Headers],0),FALSE),"")</f>
        <v/>
      </c>
      <c r="P104" s="74">
        <f>MSSリスト!N104</f>
        <v>0</v>
      </c>
      <c r="Q104" s="77">
        <f>MSSリスト!O104</f>
        <v>0</v>
      </c>
      <c r="R104" s="77">
        <f>MSSリスト!P104</f>
        <v>0</v>
      </c>
      <c r="S104" s="77">
        <f>MSSリスト!Q104</f>
        <v>0</v>
      </c>
      <c r="T104" s="77">
        <f>MSSリスト!R104</f>
        <v>0</v>
      </c>
      <c r="U104" s="77">
        <f>MSSリスト!S104</f>
        <v>0</v>
      </c>
      <c r="V104" s="78">
        <f>MSSリスト!T104</f>
        <v>0</v>
      </c>
    </row>
  </sheetData>
  <mergeCells count="1">
    <mergeCell ref="B19:B20"/>
  </mergeCells>
  <phoneticPr fontId="1"/>
  <conditionalFormatting sqref="E3:E104">
    <cfRule type="containsText" dxfId="177" priority="4" operator="containsText" text="事前申請">
      <formula>NOT(ISERROR(SEARCH("事前申請",E3)))</formula>
    </cfRule>
    <cfRule type="containsText" dxfId="176" priority="5" operator="containsText" text="事前確認">
      <formula>NOT(ISERROR(SEARCH("事前確認",E3)))</formula>
    </cfRule>
    <cfRule type="containsText" dxfId="175" priority="6" operator="containsText" text="設計契約→本契約">
      <formula>NOT(ISERROR(SEARCH("設計契約→本契約",E3)))</formula>
    </cfRule>
    <cfRule type="containsText" dxfId="174" priority="7" operator="containsText" text="契約解除">
      <formula>NOT(ISERROR(SEARCH("契約解除",E3)))</formula>
    </cfRule>
    <cfRule type="containsText" dxfId="173" priority="8" operator="containsText" text="最終">
      <formula>NOT(ISERROR(SEARCH("最終",E3)))</formula>
    </cfRule>
    <cfRule type="containsText" dxfId="172" priority="9" operator="containsText" text="総務">
      <formula>NOT(ISERROR(SEARCH("総務",E3)))</formula>
    </cfRule>
    <cfRule type="containsText" dxfId="171" priority="10" operator="containsText" text="専務">
      <formula>NOT(ISERROR(SEARCH("専務",E3)))</formula>
    </cfRule>
    <cfRule type="containsText" dxfId="170" priority="11" operator="containsText" text="着工要因">
      <formula>NOT(ISERROR(SEARCH("着工要因",E3)))</formula>
    </cfRule>
    <cfRule type="containsText" dxfId="169" priority="12" operator="containsText" text="所属長">
      <formula>NOT(ISERROR(SEARCH("所属長",E3)))</formula>
    </cfRule>
    <cfRule type="containsText" dxfId="168" priority="13" operator="containsText" text="管理設計">
      <formula>NOT(ISERROR(SEARCH("管理設計",E3)))</formula>
    </cfRule>
    <cfRule type="containsText" dxfId="167" priority="14" operator="containsText" text="新規作成">
      <formula>NOT(ISERROR(SEARCH("新規作成",E3)))</formula>
    </cfRule>
    <cfRule type="containsText" dxfId="166" priority="15" operator="containsText" text="WF申請">
      <formula>NOT(ISERROR(SEARCH("WF申請",E3)))</formula>
    </cfRule>
    <cfRule type="containsText" dxfId="165" priority="16" operator="containsText" text="差戻し">
      <formula>NOT(ISERROR(SEARCH("差戻し",E3)))</formula>
    </cfRule>
  </conditionalFormatting>
  <conditionalFormatting sqref="N3:N104">
    <cfRule type="containsText" dxfId="164" priority="3" operator="containsText" text="有り">
      <formula>NOT(ISERROR(SEARCH("有り",N3)))</formula>
    </cfRule>
  </conditionalFormatting>
  <conditionalFormatting sqref="G3:G104">
    <cfRule type="containsText" dxfId="163" priority="1" operator="containsText" text="本契約">
      <formula>NOT(ISERROR(SEARCH("本契約",G3)))</formula>
    </cfRule>
    <cfRule type="containsText" dxfId="162" priority="2" operator="containsText" text="設計契約">
      <formula>NOT(ISERROR(SEARCH("設計契約",G3)))</formula>
    </cfRule>
  </conditionalFormatting>
  <dataValidations count="6">
    <dataValidation type="list" allowBlank="1" showInputMessage="1" showErrorMessage="1" sqref="B3" xr:uid="{BB9316B0-654F-45CB-AC82-9D7724F58B88}">
      <formula1>INDIRECT("営業所リスト[店舗名]")</formula1>
    </dataValidation>
    <dataValidation type="list" allowBlank="1" showInputMessage="1" showErrorMessage="1" sqref="B10" xr:uid="{2464D931-F2A5-44E3-AD5D-B250EC4C36CB}">
      <formula1>"1,2,3,4,5,6,7,8,9,10,11,12"</formula1>
    </dataValidation>
    <dataValidation type="list" allowBlank="1" showInputMessage="1" showErrorMessage="1" sqref="B2" xr:uid="{1D12B781-E641-4F54-8338-25C1C983E9C7}">
      <formula1>INDIRECT("ステータス一覧[ステータス]")</formula1>
    </dataValidation>
    <dataValidation type="list" allowBlank="1" showInputMessage="1" showErrorMessage="1" sqref="B8" xr:uid="{35E6E3B3-AD2D-4315-902E-E7092201AB26}">
      <formula1>INDIRECT("役員リスト[名前]")</formula1>
    </dataValidation>
    <dataValidation type="list" allowBlank="1" showInputMessage="1" showErrorMessage="1" sqref="B7" xr:uid="{482A964B-75B1-4240-A316-02E65ACEA666}">
      <formula1>INDIRECT("設計リスト[名前]")</formula1>
    </dataValidation>
    <dataValidation type="list" allowBlank="1" showInputMessage="1" showErrorMessage="1" sqref="B9" xr:uid="{028B0EDF-E22F-4A34-B78E-A54985953707}">
      <formula1>INDIRECT("シート分類一覧[種別]")</formula1>
    </dataValidation>
  </dataValidations>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074" r:id="rId4" name="Button 2">
              <controlPr defaultSize="0" print="0" autoFill="0" autoPict="0" macro="[0]!getMSSlist">
                <anchor moveWithCells="1" sizeWithCells="1">
                  <from>
                    <xdr:col>1</xdr:col>
                    <xdr:colOff>552450</xdr:colOff>
                    <xdr:row>11</xdr:row>
                    <xdr:rowOff>209550</xdr:rowOff>
                  </from>
                  <to>
                    <xdr:col>1</xdr:col>
                    <xdr:colOff>1552575</xdr:colOff>
                    <xdr:row>13</xdr:row>
                    <xdr:rowOff>38100</xdr:rowOff>
                  </to>
                </anchor>
              </controlPr>
            </control>
          </mc:Choice>
        </mc:AlternateContent>
        <mc:AlternateContent xmlns:mc="http://schemas.openxmlformats.org/markup-compatibility/2006">
          <mc:Choice Requires="x14">
            <control shapeId="3078" r:id="rId5" name="Button 6">
              <controlPr defaultSize="0" print="0" autoFill="0" autoPict="0" macro="[0]!selectKeiyakuCode">
                <anchor moveWithCells="1" sizeWithCells="1">
                  <from>
                    <xdr:col>1</xdr:col>
                    <xdr:colOff>552450</xdr:colOff>
                    <xdr:row>16</xdr:row>
                    <xdr:rowOff>85725</xdr:rowOff>
                  </from>
                  <to>
                    <xdr:col>1</xdr:col>
                    <xdr:colOff>1552575</xdr:colOff>
                    <xdr:row>17</xdr:row>
                    <xdr:rowOff>180975</xdr:rowOff>
                  </to>
                </anchor>
              </controlPr>
            </control>
          </mc:Choice>
        </mc:AlternateContent>
        <mc:AlternateContent xmlns:mc="http://schemas.openxmlformats.org/markup-compatibility/2006">
          <mc:Choice Requires="x14">
            <control shapeId="3086" r:id="rId6" name="Button 14">
              <controlPr defaultSize="0" print="0" autoFill="0" autoPict="0" macro="[0]!getPleasanterUsers">
                <anchor moveWithCells="1" sizeWithCells="1">
                  <from>
                    <xdr:col>1</xdr:col>
                    <xdr:colOff>19050</xdr:colOff>
                    <xdr:row>47</xdr:row>
                    <xdr:rowOff>76200</xdr:rowOff>
                  </from>
                  <to>
                    <xdr:col>1</xdr:col>
                    <xdr:colOff>2085975</xdr:colOff>
                    <xdr:row>48</xdr:row>
                    <xdr:rowOff>171450</xdr:rowOff>
                  </to>
                </anchor>
              </controlPr>
            </control>
          </mc:Choice>
        </mc:AlternateContent>
      </controls>
    </mc:Choice>
  </mc:AlternateContent>
  <tableParts count="1">
    <tablePart r:id="rId7"/>
  </tableParts>
  <extLst>
    <ext xmlns:x14="http://schemas.microsoft.com/office/spreadsheetml/2009/9/main" uri="{CCE6A557-97BC-4b89-ADB6-D9C93CAAB3DF}">
      <x14:dataValidations xmlns:xm="http://schemas.microsoft.com/office/excel/2006/main" count="1">
        <x14:dataValidation type="list" allowBlank="1" showInputMessage="1" showErrorMessage="1" xr:uid="{B651F73B-5C8C-440E-9EFD-70CC3911025B}">
          <x14:formula1>
            <xm:f>_xlfn.XLOOKUP("名前",変換!$E$2:$J$2,変換!$E$3:$J$31)</xm:f>
          </x14:formula1>
          <xm:sqref>B6</xm:sqref>
        </x14:dataValidation>
      </x14:dataValidations>
    </ext>
  </extLs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BE31D62-84C7-4BB7-AC89-0FA26EEDF4D0}">
  <sheetPr codeName="Sheet4">
    <tabColor rgb="FFFFFF00"/>
  </sheetPr>
  <dimension ref="A1:BY200"/>
  <sheetViews>
    <sheetView zoomScale="85" zoomScaleNormal="85" workbookViewId="0">
      <selection activeCell="CA20" sqref="CA20"/>
    </sheetView>
  </sheetViews>
  <sheetFormatPr defaultColWidth="9" defaultRowHeight="21"/>
  <cols>
    <col min="1" max="1" width="4.625" style="29" customWidth="1"/>
    <col min="2" max="2" width="34.5" style="32" customWidth="1"/>
    <col min="3" max="3" width="19.125" style="32" customWidth="1"/>
    <col min="4" max="4" width="8.125" style="32" customWidth="1"/>
    <col min="5" max="5" width="10" style="33" customWidth="1"/>
    <col min="6" max="6" width="10" style="29" customWidth="1"/>
    <col min="7" max="7" width="3.375" style="29" customWidth="1"/>
    <col min="8" max="8" width="49.5" style="36" customWidth="1"/>
    <col min="9" max="10" width="3.375" style="29" customWidth="1"/>
    <col min="11" max="11" width="3.375" style="35" customWidth="1"/>
    <col min="12" max="12" width="21.875" style="7" hidden="1" customWidth="1"/>
    <col min="13" max="13" width="16.75" style="5" hidden="1" customWidth="1"/>
    <col min="14" max="14" width="16.75" style="7" hidden="1" customWidth="1"/>
    <col min="15" max="15" width="16.75" style="5" hidden="1" customWidth="1"/>
    <col min="16" max="16" width="16.75" style="7" hidden="1" customWidth="1"/>
    <col min="17" max="17" width="16.75" style="5" hidden="1" customWidth="1"/>
    <col min="18" max="18" width="16.75" style="7" hidden="1" customWidth="1"/>
    <col min="19" max="19" width="16.75" style="5" hidden="1" customWidth="1"/>
    <col min="20" max="20" width="16.75" style="7" hidden="1" customWidth="1"/>
    <col min="21" max="21" width="16.75" style="5" hidden="1" customWidth="1"/>
    <col min="22" max="22" width="16.75" style="7" hidden="1" customWidth="1"/>
    <col min="23" max="23" width="16.75" style="5" hidden="1" customWidth="1"/>
    <col min="24" max="24" width="16.75" style="7" hidden="1" customWidth="1"/>
    <col min="25" max="25" width="16.75" style="5" hidden="1" customWidth="1"/>
    <col min="26" max="26" width="16.75" style="7" hidden="1" customWidth="1"/>
    <col min="27" max="27" width="16.75" style="5" hidden="1" customWidth="1"/>
    <col min="28" max="28" width="16.75" style="7" hidden="1" customWidth="1"/>
    <col min="29" max="29" width="16.75" style="5" hidden="1" customWidth="1"/>
    <col min="30" max="30" width="16.75" style="7" hidden="1" customWidth="1"/>
    <col min="31" max="31" width="16.75" style="5" hidden="1" customWidth="1"/>
    <col min="32" max="32" width="16.75" style="7" hidden="1" customWidth="1"/>
    <col min="33" max="33" width="16.75" style="5" hidden="1" customWidth="1"/>
    <col min="34" max="34" width="16.75" style="7" hidden="1" customWidth="1"/>
    <col min="35" max="35" width="16.75" style="5" hidden="1" customWidth="1"/>
    <col min="36" max="36" width="16.75" style="7" hidden="1" customWidth="1"/>
    <col min="37" max="37" width="16.75" style="5" hidden="1" customWidth="1"/>
    <col min="38" max="38" width="16.75" style="7" hidden="1" customWidth="1"/>
    <col min="39" max="39" width="16.75" style="5" hidden="1" customWidth="1"/>
    <col min="40" max="40" width="16.75" style="7" hidden="1" customWidth="1"/>
    <col min="41" max="41" width="16.75" style="5" hidden="1" customWidth="1"/>
    <col min="42" max="42" width="16.75" style="7" hidden="1" customWidth="1"/>
    <col min="43" max="43" width="16.75" style="5" hidden="1" customWidth="1"/>
    <col min="44" max="44" width="16.75" style="7" hidden="1" customWidth="1"/>
    <col min="45" max="45" width="16.75" style="5" hidden="1" customWidth="1"/>
    <col min="46" max="46" width="16.75" style="7" hidden="1" customWidth="1"/>
    <col min="47" max="47" width="16.75" style="5" hidden="1" customWidth="1"/>
    <col min="48" max="48" width="16.75" style="7" hidden="1" customWidth="1"/>
    <col min="49" max="49" width="16.75" style="5" hidden="1" customWidth="1"/>
    <col min="50" max="50" width="16.75" style="7" hidden="1" customWidth="1"/>
    <col min="51" max="51" width="16.75" style="5" hidden="1" customWidth="1"/>
    <col min="52" max="52" width="16.75" style="7" hidden="1" customWidth="1"/>
    <col min="53" max="53" width="16.75" style="5" hidden="1" customWidth="1"/>
    <col min="54" max="54" width="16.75" style="7" hidden="1" customWidth="1"/>
    <col min="55" max="55" width="16.75" style="5" hidden="1" customWidth="1"/>
    <col min="56" max="56" width="16.75" style="7" hidden="1" customWidth="1"/>
    <col min="57" max="57" width="16.75" style="5" hidden="1" customWidth="1"/>
    <col min="58" max="58" width="16.75" style="7" hidden="1" customWidth="1"/>
    <col min="59" max="59" width="16.75" style="5" hidden="1" customWidth="1"/>
    <col min="60" max="60" width="16.75" style="7" hidden="1" customWidth="1"/>
    <col min="61" max="61" width="16.75" style="5" hidden="1" customWidth="1"/>
    <col min="62" max="62" width="16.75" style="7" hidden="1" customWidth="1"/>
    <col min="63" max="63" width="16.75" style="5" hidden="1" customWidth="1"/>
    <col min="64" max="64" width="16.75" style="7" hidden="1" customWidth="1"/>
    <col min="65" max="65" width="16.75" style="5" hidden="1" customWidth="1"/>
    <col min="66" max="66" width="16.75" style="7" hidden="1" customWidth="1"/>
    <col min="67" max="67" width="16.75" style="5" hidden="1" customWidth="1"/>
    <col min="68" max="68" width="16.75" style="7" hidden="1" customWidth="1"/>
    <col min="69" max="69" width="16.75" style="5" hidden="1" customWidth="1"/>
    <col min="70" max="70" width="16.75" style="7" hidden="1" customWidth="1"/>
    <col min="71" max="71" width="16.75" style="5" hidden="1" customWidth="1"/>
    <col min="72" max="72" width="16.75" style="7" hidden="1" customWidth="1"/>
    <col min="73" max="73" width="16.75" style="5" hidden="1" customWidth="1"/>
    <col min="74" max="74" width="16.75" style="7" hidden="1" customWidth="1"/>
    <col min="75" max="75" width="16.75" style="5" hidden="1" customWidth="1"/>
    <col min="76" max="76" width="16.75" style="7" hidden="1" customWidth="1"/>
    <col min="77" max="77" width="16.75" style="5" hidden="1" customWidth="1"/>
    <col min="78" max="79" width="9" style="5"/>
    <col min="80" max="83" width="34.75" style="5" customWidth="1"/>
    <col min="84" max="16384" width="9" style="5"/>
  </cols>
  <sheetData>
    <row r="1" spans="1:77">
      <c r="A1" s="23" t="s">
        <v>2634</v>
      </c>
      <c r="B1" s="23" t="s">
        <v>1686</v>
      </c>
      <c r="C1" s="23" t="s">
        <v>1687</v>
      </c>
      <c r="D1" s="23" t="s">
        <v>1688</v>
      </c>
      <c r="E1" s="23" t="s">
        <v>2633</v>
      </c>
      <c r="F1" s="23" t="s">
        <v>1689</v>
      </c>
      <c r="G1" s="24"/>
      <c r="H1" s="25">
        <f>COLUMN()</f>
        <v>8</v>
      </c>
      <c r="I1" s="24"/>
      <c r="J1" s="24"/>
      <c r="K1" s="34"/>
      <c r="L1" s="7">
        <f>COLUMN()</f>
        <v>12</v>
      </c>
      <c r="M1" s="5">
        <f>COLUMN()</f>
        <v>13</v>
      </c>
      <c r="N1" s="7">
        <f>COLUMN()</f>
        <v>14</v>
      </c>
      <c r="O1" s="5">
        <f>COLUMN()</f>
        <v>15</v>
      </c>
      <c r="P1" s="7">
        <f>COLUMN()</f>
        <v>16</v>
      </c>
      <c r="Q1" s="5">
        <f>COLUMN()</f>
        <v>17</v>
      </c>
      <c r="R1" s="7">
        <f>COLUMN()</f>
        <v>18</v>
      </c>
      <c r="S1" s="5">
        <f>COLUMN()</f>
        <v>19</v>
      </c>
      <c r="T1" s="7">
        <f>COLUMN()</f>
        <v>20</v>
      </c>
      <c r="U1" s="5">
        <f>COLUMN()</f>
        <v>21</v>
      </c>
      <c r="V1" s="7">
        <f>COLUMN()</f>
        <v>22</v>
      </c>
      <c r="W1" s="5">
        <f>COLUMN()</f>
        <v>23</v>
      </c>
      <c r="X1" s="7">
        <f>COLUMN()</f>
        <v>24</v>
      </c>
      <c r="Y1" s="5">
        <f>COLUMN()</f>
        <v>25</v>
      </c>
      <c r="Z1" s="7">
        <f>COLUMN()</f>
        <v>26</v>
      </c>
      <c r="AA1" s="5">
        <f>COLUMN()</f>
        <v>27</v>
      </c>
      <c r="AB1" s="7">
        <f>COLUMN()</f>
        <v>28</v>
      </c>
      <c r="AC1" s="5">
        <f>COLUMN()</f>
        <v>29</v>
      </c>
      <c r="AD1" s="7">
        <f>COLUMN()</f>
        <v>30</v>
      </c>
      <c r="AE1" s="5">
        <f>COLUMN()</f>
        <v>31</v>
      </c>
      <c r="AF1" s="7">
        <f>COLUMN()</f>
        <v>32</v>
      </c>
      <c r="AG1" s="5">
        <f>COLUMN()</f>
        <v>33</v>
      </c>
      <c r="AH1" s="7">
        <f>COLUMN()</f>
        <v>34</v>
      </c>
      <c r="AI1" s="5">
        <f>COLUMN()</f>
        <v>35</v>
      </c>
      <c r="AJ1" s="7">
        <f>COLUMN()</f>
        <v>36</v>
      </c>
      <c r="AK1" s="5">
        <f>COLUMN()</f>
        <v>37</v>
      </c>
      <c r="AL1" s="7">
        <f>COLUMN()</f>
        <v>38</v>
      </c>
      <c r="AM1" s="5">
        <f>COLUMN()</f>
        <v>39</v>
      </c>
      <c r="AN1" s="7">
        <f>COLUMN()</f>
        <v>40</v>
      </c>
      <c r="AO1" s="5">
        <f>COLUMN()</f>
        <v>41</v>
      </c>
      <c r="AP1" s="7">
        <f>COLUMN()</f>
        <v>42</v>
      </c>
      <c r="AQ1" s="5">
        <f>COLUMN()</f>
        <v>43</v>
      </c>
      <c r="AR1" s="7">
        <f>COLUMN()</f>
        <v>44</v>
      </c>
      <c r="AS1" s="5">
        <f>COLUMN()</f>
        <v>45</v>
      </c>
      <c r="AT1" s="7">
        <f>COLUMN()</f>
        <v>46</v>
      </c>
      <c r="AU1" s="5">
        <f>COLUMN()</f>
        <v>47</v>
      </c>
      <c r="AV1" s="7">
        <f>COLUMN()</f>
        <v>48</v>
      </c>
      <c r="AW1" s="5">
        <f>COLUMN()</f>
        <v>49</v>
      </c>
      <c r="AX1" s="7">
        <f>COLUMN()</f>
        <v>50</v>
      </c>
      <c r="AY1" s="5">
        <f>COLUMN()</f>
        <v>51</v>
      </c>
      <c r="AZ1" s="7">
        <f>COLUMN()</f>
        <v>52</v>
      </c>
      <c r="BA1" s="5">
        <f>COLUMN()</f>
        <v>53</v>
      </c>
      <c r="BB1" s="7">
        <f>COLUMN()</f>
        <v>54</v>
      </c>
      <c r="BC1" s="5">
        <f>COLUMN()</f>
        <v>55</v>
      </c>
      <c r="BD1" s="7">
        <f>COLUMN()</f>
        <v>56</v>
      </c>
      <c r="BE1" s="5">
        <f>COLUMN()</f>
        <v>57</v>
      </c>
      <c r="BF1" s="7">
        <f>COLUMN()</f>
        <v>58</v>
      </c>
      <c r="BG1" s="5">
        <f>COLUMN()</f>
        <v>59</v>
      </c>
      <c r="BH1" s="7">
        <f>COLUMN()</f>
        <v>60</v>
      </c>
      <c r="BI1" s="5">
        <f>COLUMN()</f>
        <v>61</v>
      </c>
      <c r="BJ1" s="7">
        <f>COLUMN()</f>
        <v>62</v>
      </c>
      <c r="BK1" s="5">
        <f>COLUMN()</f>
        <v>63</v>
      </c>
      <c r="BL1" s="7">
        <f>COLUMN()</f>
        <v>64</v>
      </c>
      <c r="BM1" s="5">
        <f>COLUMN()</f>
        <v>65</v>
      </c>
      <c r="BN1" s="7">
        <f>COLUMN()</f>
        <v>66</v>
      </c>
      <c r="BO1" s="5">
        <f>COLUMN()</f>
        <v>67</v>
      </c>
      <c r="BP1" s="7">
        <f>COLUMN()</f>
        <v>68</v>
      </c>
      <c r="BQ1" s="5">
        <f>COLUMN()</f>
        <v>69</v>
      </c>
      <c r="BR1" s="7">
        <f>COLUMN()</f>
        <v>70</v>
      </c>
      <c r="BS1" s="5">
        <f>COLUMN()</f>
        <v>71</v>
      </c>
      <c r="BT1" s="7">
        <f>COLUMN()</f>
        <v>72</v>
      </c>
      <c r="BU1" s="5">
        <f>COLUMN()</f>
        <v>73</v>
      </c>
      <c r="BV1" s="7">
        <f>COLUMN()</f>
        <v>74</v>
      </c>
      <c r="BW1" s="5">
        <f>COLUMN()</f>
        <v>75</v>
      </c>
      <c r="BX1" s="7">
        <f>COLUMN()</f>
        <v>76</v>
      </c>
      <c r="BY1" s="5">
        <f>COLUMN()</f>
        <v>77</v>
      </c>
    </row>
    <row r="2" spans="1:77">
      <c r="A2" s="26">
        <v>1</v>
      </c>
      <c r="B2" s="27" t="s">
        <v>1668</v>
      </c>
      <c r="C2" s="27" t="s">
        <v>1667</v>
      </c>
      <c r="D2" s="27">
        <v>12</v>
      </c>
      <c r="E2" s="28">
        <f ca="1">COUNTA(INDIRECT("R4C"&amp;D2&amp;":R100C"&amp;D2,FALSE))</f>
        <v>1</v>
      </c>
      <c r="F2" s="26"/>
      <c r="H2" s="30" t="s">
        <v>2635</v>
      </c>
      <c r="L2" s="14" t="s">
        <v>1440</v>
      </c>
      <c r="M2" s="6"/>
      <c r="N2" s="14" t="s">
        <v>1441</v>
      </c>
      <c r="O2" s="6"/>
      <c r="P2" s="14" t="s">
        <v>1460</v>
      </c>
      <c r="Q2" s="6"/>
      <c r="R2" s="14" t="s">
        <v>1463</v>
      </c>
      <c r="S2" s="6"/>
      <c r="T2" s="14" t="s">
        <v>1464</v>
      </c>
      <c r="U2" s="6"/>
      <c r="V2" s="14" t="s">
        <v>1465</v>
      </c>
      <c r="W2" s="6"/>
      <c r="X2" s="14" t="s">
        <v>1466</v>
      </c>
      <c r="Y2" s="6"/>
      <c r="Z2" s="14" t="s">
        <v>1467</v>
      </c>
      <c r="AA2" s="6"/>
      <c r="AB2" s="14" t="s">
        <v>1468</v>
      </c>
      <c r="AC2" s="6"/>
      <c r="AD2" s="14" t="s">
        <v>1469</v>
      </c>
      <c r="AE2" s="6"/>
      <c r="AF2" s="14" t="s">
        <v>1470</v>
      </c>
      <c r="AG2" s="6"/>
      <c r="AH2" s="14" t="s">
        <v>1483</v>
      </c>
      <c r="AI2" s="6"/>
      <c r="AJ2" s="14" t="s">
        <v>1484</v>
      </c>
      <c r="AK2" s="6"/>
      <c r="AL2" s="14" t="s">
        <v>1485</v>
      </c>
      <c r="AM2" s="6"/>
      <c r="AN2" s="14" t="s">
        <v>1486</v>
      </c>
      <c r="AO2" s="6"/>
      <c r="AP2" s="14" t="s">
        <v>1487</v>
      </c>
      <c r="AQ2" s="6"/>
      <c r="AR2" s="14" t="s">
        <v>3794</v>
      </c>
      <c r="AS2" s="6"/>
      <c r="AT2" s="14" t="s">
        <v>3795</v>
      </c>
      <c r="AU2" s="6"/>
      <c r="AV2" s="14" t="s">
        <v>3796</v>
      </c>
      <c r="AW2" s="6"/>
      <c r="AX2" s="14" t="s">
        <v>3797</v>
      </c>
      <c r="AY2" s="6"/>
      <c r="AZ2" s="14" t="s">
        <v>3798</v>
      </c>
      <c r="BA2" s="6"/>
      <c r="BB2" s="14" t="s">
        <v>1493</v>
      </c>
      <c r="BC2" s="6"/>
      <c r="BD2" s="14" t="s">
        <v>1494</v>
      </c>
      <c r="BE2" s="6"/>
      <c r="BF2" s="14" t="s">
        <v>1495</v>
      </c>
      <c r="BG2" s="6"/>
      <c r="BH2" s="14" t="s">
        <v>1497</v>
      </c>
      <c r="BI2" s="6"/>
      <c r="BJ2" s="14" t="s">
        <v>1500</v>
      </c>
      <c r="BK2" s="6"/>
      <c r="BL2" s="14" t="s">
        <v>1513</v>
      </c>
      <c r="BM2" s="6"/>
      <c r="BN2" s="14" t="s">
        <v>1514</v>
      </c>
      <c r="BO2" s="6"/>
      <c r="BP2" s="14" t="s">
        <v>1518</v>
      </c>
      <c r="BQ2" s="6"/>
      <c r="BR2" s="14" t="s">
        <v>1519</v>
      </c>
      <c r="BS2" s="6"/>
      <c r="BT2" s="14" t="s">
        <v>1520</v>
      </c>
      <c r="BU2" s="6"/>
      <c r="BV2" s="14" t="s">
        <v>1521</v>
      </c>
      <c r="BW2" s="6"/>
      <c r="BX2" s="14" t="s">
        <v>1522</v>
      </c>
    </row>
    <row r="3" spans="1:77">
      <c r="A3" s="26">
        <v>2</v>
      </c>
      <c r="B3" s="27" t="s">
        <v>1669</v>
      </c>
      <c r="C3" s="27" t="s">
        <v>1664</v>
      </c>
      <c r="D3" s="27">
        <f>D2+2</f>
        <v>14</v>
      </c>
      <c r="E3" s="28">
        <f t="shared" ref="E3:E5" ca="1" si="0">COUNTA(INDIRECT("R4C"&amp;D3&amp;":R100C"&amp;D3,FALSE))</f>
        <v>0</v>
      </c>
      <c r="F3" s="26"/>
      <c r="H3" s="31" t="str">
        <f>レコード名</f>
        <v>05A3BRONT■田中 勝也</v>
      </c>
      <c r="L3" s="7" t="s">
        <v>1670</v>
      </c>
      <c r="N3" s="7" t="s">
        <v>1671</v>
      </c>
      <c r="P3" s="7" t="s">
        <v>1672</v>
      </c>
      <c r="R3" s="7" t="s">
        <v>443</v>
      </c>
      <c r="T3" s="7" t="s">
        <v>449</v>
      </c>
      <c r="V3" s="7" t="s">
        <v>455</v>
      </c>
      <c r="X3" s="7" t="s">
        <v>460</v>
      </c>
      <c r="Z3" s="7" t="s">
        <v>466</v>
      </c>
      <c r="AB3" s="7" t="s">
        <v>471</v>
      </c>
      <c r="AD3" s="7" t="s">
        <v>476</v>
      </c>
      <c r="AF3" s="7" t="s">
        <v>481</v>
      </c>
      <c r="AH3" s="7" t="s">
        <v>3799</v>
      </c>
      <c r="AJ3" s="7" t="s">
        <v>3800</v>
      </c>
      <c r="AL3" s="7" t="s">
        <v>3801</v>
      </c>
      <c r="AN3" s="7" t="s">
        <v>3802</v>
      </c>
      <c r="AP3" s="7" t="s">
        <v>3803</v>
      </c>
      <c r="AR3" s="7" t="s">
        <v>3804</v>
      </c>
      <c r="AT3" s="7" t="s">
        <v>3790</v>
      </c>
      <c r="AV3" s="7" t="s">
        <v>3791</v>
      </c>
      <c r="AX3" s="7" t="s">
        <v>3792</v>
      </c>
      <c r="AZ3" s="7" t="s">
        <v>3793</v>
      </c>
      <c r="BB3" s="7" t="s">
        <v>605</v>
      </c>
      <c r="BD3" s="7" t="s">
        <v>610</v>
      </c>
      <c r="BF3" s="7" t="s">
        <v>616</v>
      </c>
      <c r="BH3" s="7" t="s">
        <v>627</v>
      </c>
      <c r="BJ3" s="7" t="s">
        <v>1673</v>
      </c>
      <c r="BL3" s="7" t="s">
        <v>1674</v>
      </c>
      <c r="BN3" s="7" t="s">
        <v>1675</v>
      </c>
      <c r="BP3" s="7" t="s">
        <v>1676</v>
      </c>
      <c r="BR3" s="7" t="s">
        <v>1677</v>
      </c>
      <c r="BT3" s="7" t="s">
        <v>747</v>
      </c>
      <c r="BV3" s="7" t="s">
        <v>752</v>
      </c>
      <c r="BX3" s="7" t="s">
        <v>757</v>
      </c>
    </row>
    <row r="4" spans="1:77">
      <c r="A4" s="26">
        <v>3</v>
      </c>
      <c r="B4" s="27" t="s">
        <v>1666</v>
      </c>
      <c r="C4" s="27" t="s">
        <v>1665</v>
      </c>
      <c r="D4" s="27">
        <f t="shared" ref="D4:D61" si="1">D3+2</f>
        <v>16</v>
      </c>
      <c r="E4" s="28">
        <f t="shared" ca="1" si="0"/>
        <v>0</v>
      </c>
      <c r="F4" s="26"/>
      <c r="H4" s="25"/>
      <c r="L4" s="15" t="s">
        <v>4708</v>
      </c>
      <c r="M4" s="13" t="s">
        <v>4709</v>
      </c>
      <c r="N4" s="15"/>
      <c r="O4" s="13"/>
      <c r="P4" s="15"/>
      <c r="Q4" s="13"/>
      <c r="R4" s="15" t="s">
        <v>4710</v>
      </c>
      <c r="S4" s="13" t="s">
        <v>4711</v>
      </c>
      <c r="T4" s="15" t="s">
        <v>4714</v>
      </c>
      <c r="U4" s="13" t="s">
        <v>4715</v>
      </c>
      <c r="V4" s="15" t="s">
        <v>4718</v>
      </c>
      <c r="W4" s="13" t="s">
        <v>4719</v>
      </c>
      <c r="X4" s="15" t="s">
        <v>4722</v>
      </c>
      <c r="Y4" s="13" t="s">
        <v>4723</v>
      </c>
      <c r="Z4" s="15" t="s">
        <v>4724</v>
      </c>
      <c r="AA4" s="13" t="s">
        <v>4725</v>
      </c>
      <c r="AB4" s="15" t="s">
        <v>4726</v>
      </c>
      <c r="AC4" s="13" t="s">
        <v>4727</v>
      </c>
      <c r="AD4" s="15" t="s">
        <v>4728</v>
      </c>
      <c r="AE4" s="13" t="s">
        <v>4729</v>
      </c>
      <c r="AF4" s="15"/>
      <c r="AG4" s="13"/>
      <c r="AH4" s="15"/>
      <c r="AI4" s="13"/>
      <c r="AJ4" s="15"/>
      <c r="AK4" s="13"/>
      <c r="AL4" s="15"/>
      <c r="AM4" s="13"/>
      <c r="AN4" s="15"/>
      <c r="AO4" s="13"/>
      <c r="AP4" s="15"/>
      <c r="AQ4" s="13"/>
      <c r="AR4" s="15"/>
      <c r="AS4" s="13"/>
      <c r="AT4" s="15"/>
      <c r="AU4" s="13"/>
      <c r="AV4" s="15"/>
      <c r="AW4" s="13"/>
      <c r="AX4" s="15"/>
      <c r="AY4" s="13"/>
      <c r="AZ4" s="15"/>
      <c r="BA4" s="13"/>
      <c r="BB4" s="15" t="s">
        <v>4730</v>
      </c>
      <c r="BC4" s="13" t="s">
        <v>4731</v>
      </c>
      <c r="BD4" s="15" t="s">
        <v>4736</v>
      </c>
      <c r="BE4" s="13" t="s">
        <v>4737</v>
      </c>
      <c r="BF4" s="15" t="s">
        <v>4738</v>
      </c>
      <c r="BG4" s="13" t="s">
        <v>4739</v>
      </c>
      <c r="BH4" s="15" t="s">
        <v>4740</v>
      </c>
      <c r="BI4" s="13" t="s">
        <v>4741</v>
      </c>
      <c r="BJ4" s="15" t="s">
        <v>4742</v>
      </c>
      <c r="BK4" s="13" t="s">
        <v>4743</v>
      </c>
      <c r="BL4" s="15"/>
      <c r="BM4" s="13"/>
      <c r="BN4" s="15"/>
      <c r="BO4" s="13"/>
      <c r="BP4" s="15"/>
      <c r="BQ4" s="13"/>
      <c r="BR4" s="15"/>
      <c r="BS4" s="13"/>
      <c r="BT4" s="15"/>
      <c r="BU4" s="13"/>
      <c r="BV4" s="15"/>
      <c r="BW4" s="13"/>
      <c r="BX4" s="15"/>
      <c r="BY4" s="13"/>
    </row>
    <row r="5" spans="1:77">
      <c r="A5" s="26">
        <v>4</v>
      </c>
      <c r="B5" s="27" t="s">
        <v>443</v>
      </c>
      <c r="C5" s="27" t="s">
        <v>1463</v>
      </c>
      <c r="D5" s="27">
        <f t="shared" si="1"/>
        <v>18</v>
      </c>
      <c r="E5" s="28">
        <f t="shared" ca="1" si="0"/>
        <v>2</v>
      </c>
      <c r="F5" s="26"/>
      <c r="H5" s="25"/>
      <c r="L5" s="15"/>
      <c r="M5" s="13"/>
      <c r="N5" s="15"/>
      <c r="O5" s="13"/>
      <c r="P5" s="15"/>
      <c r="Q5" s="13"/>
      <c r="R5" s="15" t="s">
        <v>4712</v>
      </c>
      <c r="S5" s="13" t="s">
        <v>4713</v>
      </c>
      <c r="T5" s="15" t="s">
        <v>4716</v>
      </c>
      <c r="U5" s="13" t="s">
        <v>4717</v>
      </c>
      <c r="V5" s="15" t="s">
        <v>4720</v>
      </c>
      <c r="W5" s="13" t="s">
        <v>4721</v>
      </c>
      <c r="X5" s="15"/>
      <c r="Y5" s="13"/>
      <c r="Z5" s="15"/>
      <c r="AA5" s="13"/>
      <c r="AB5" s="15"/>
      <c r="AC5" s="13"/>
      <c r="AD5" s="15"/>
      <c r="AE5" s="13"/>
      <c r="AF5" s="15"/>
      <c r="AG5" s="13"/>
      <c r="AH5" s="15"/>
      <c r="AI5" s="13"/>
      <c r="AJ5" s="15"/>
      <c r="AK5" s="13"/>
      <c r="AL5" s="15"/>
      <c r="AM5" s="13"/>
      <c r="AN5" s="15"/>
      <c r="AO5" s="13"/>
      <c r="AP5" s="15"/>
      <c r="AQ5" s="13"/>
      <c r="AR5" s="15"/>
      <c r="AS5" s="13"/>
      <c r="AT5" s="15"/>
      <c r="AU5" s="13"/>
      <c r="AV5" s="15"/>
      <c r="AW5" s="13"/>
      <c r="AX5" s="15"/>
      <c r="AY5" s="13"/>
      <c r="AZ5" s="15"/>
      <c r="BA5" s="13"/>
      <c r="BB5" s="15" t="s">
        <v>4732</v>
      </c>
      <c r="BC5" s="13" t="s">
        <v>4733</v>
      </c>
      <c r="BD5" s="15"/>
      <c r="BE5" s="13"/>
      <c r="BF5" s="15"/>
      <c r="BG5" s="13"/>
      <c r="BH5" s="15"/>
      <c r="BI5" s="13"/>
      <c r="BJ5" s="15"/>
      <c r="BK5" s="13"/>
      <c r="BL5" s="15"/>
      <c r="BM5" s="13"/>
      <c r="BN5" s="15"/>
      <c r="BO5" s="13"/>
      <c r="BP5" s="15"/>
      <c r="BQ5" s="13"/>
      <c r="BR5" s="15"/>
      <c r="BS5" s="13"/>
      <c r="BT5" s="15"/>
      <c r="BU5" s="13"/>
      <c r="BV5" s="15"/>
      <c r="BW5" s="13"/>
      <c r="BX5" s="15"/>
      <c r="BY5" s="13"/>
    </row>
    <row r="6" spans="1:77">
      <c r="A6" s="26">
        <v>5</v>
      </c>
      <c r="B6" s="27" t="s">
        <v>449</v>
      </c>
      <c r="C6" s="27" t="s">
        <v>1464</v>
      </c>
      <c r="D6" s="27">
        <f t="shared" si="1"/>
        <v>20</v>
      </c>
      <c r="E6" s="28">
        <f t="shared" ref="E6:E61" ca="1" si="2">COUNTA(INDIRECT("R4C"&amp;D6&amp;":R100C"&amp;D6,FALSE))</f>
        <v>2</v>
      </c>
      <c r="F6" s="26">
        <v>1</v>
      </c>
      <c r="H6" s="25"/>
      <c r="L6" s="15"/>
      <c r="M6" s="13"/>
      <c r="N6" s="15"/>
      <c r="O6" s="13"/>
      <c r="P6" s="15"/>
      <c r="Q6" s="13"/>
      <c r="R6" s="15"/>
      <c r="S6" s="13"/>
      <c r="T6" s="15"/>
      <c r="U6" s="13"/>
      <c r="V6" s="15"/>
      <c r="W6" s="13"/>
      <c r="X6" s="15"/>
      <c r="Y6" s="13"/>
      <c r="Z6" s="15"/>
      <c r="AA6" s="13"/>
      <c r="AB6" s="15"/>
      <c r="AC6" s="13"/>
      <c r="AD6" s="15"/>
      <c r="AE6" s="13"/>
      <c r="AF6" s="15"/>
      <c r="AG6" s="13"/>
      <c r="AH6" s="15"/>
      <c r="AI6" s="13"/>
      <c r="AJ6" s="15"/>
      <c r="AK6" s="13"/>
      <c r="AL6" s="15"/>
      <c r="AM6" s="13"/>
      <c r="AN6" s="15"/>
      <c r="AO6" s="13"/>
      <c r="AP6" s="15"/>
      <c r="AQ6" s="13"/>
      <c r="AR6" s="15"/>
      <c r="AS6" s="13"/>
      <c r="AT6" s="15"/>
      <c r="AU6" s="13"/>
      <c r="AV6" s="15"/>
      <c r="AW6" s="13"/>
      <c r="AX6" s="15"/>
      <c r="AY6" s="13"/>
      <c r="AZ6" s="15"/>
      <c r="BA6" s="13"/>
      <c r="BB6" s="15" t="s">
        <v>4734</v>
      </c>
      <c r="BC6" s="13" t="s">
        <v>4735</v>
      </c>
      <c r="BD6" s="15"/>
      <c r="BE6" s="13"/>
      <c r="BF6" s="15"/>
      <c r="BG6" s="13"/>
      <c r="BH6" s="15"/>
      <c r="BI6" s="13"/>
      <c r="BJ6" s="15"/>
      <c r="BK6" s="13"/>
      <c r="BL6" s="15"/>
      <c r="BM6" s="13"/>
      <c r="BN6" s="15"/>
      <c r="BO6" s="13"/>
      <c r="BP6" s="15"/>
      <c r="BQ6" s="13"/>
      <c r="BR6" s="15"/>
      <c r="BS6" s="13"/>
      <c r="BT6" s="15"/>
      <c r="BU6" s="13"/>
      <c r="BV6" s="15"/>
      <c r="BW6" s="13"/>
      <c r="BX6" s="15"/>
      <c r="BY6" s="13"/>
    </row>
    <row r="7" spans="1:77">
      <c r="A7" s="26">
        <v>6</v>
      </c>
      <c r="B7" s="27" t="s">
        <v>455</v>
      </c>
      <c r="C7" s="27" t="s">
        <v>1465</v>
      </c>
      <c r="D7" s="27">
        <f t="shared" si="1"/>
        <v>22</v>
      </c>
      <c r="E7" s="28">
        <f t="shared" ca="1" si="2"/>
        <v>2</v>
      </c>
      <c r="F7" s="26"/>
      <c r="H7" s="25"/>
      <c r="L7" s="15"/>
      <c r="M7" s="13"/>
      <c r="N7" s="15"/>
      <c r="O7" s="13"/>
      <c r="P7" s="15"/>
      <c r="Q7" s="13"/>
      <c r="R7" s="15"/>
      <c r="S7" s="13"/>
      <c r="T7" s="15"/>
      <c r="U7" s="13"/>
      <c r="V7" s="15"/>
      <c r="W7" s="13"/>
      <c r="X7" s="15"/>
      <c r="Y7" s="13"/>
      <c r="Z7" s="15"/>
      <c r="AA7" s="13"/>
      <c r="AB7" s="15"/>
      <c r="AC7" s="13"/>
      <c r="AD7" s="15"/>
      <c r="AE7" s="13"/>
      <c r="AF7" s="15"/>
      <c r="AG7" s="13"/>
      <c r="AH7" s="15"/>
      <c r="AI7" s="13"/>
      <c r="AJ7" s="15"/>
      <c r="AK7" s="13"/>
      <c r="AL7" s="15"/>
      <c r="AM7" s="13"/>
      <c r="AN7" s="15"/>
      <c r="AO7" s="13"/>
      <c r="AP7" s="15"/>
      <c r="AQ7" s="13"/>
      <c r="AR7" s="15"/>
      <c r="AS7" s="13"/>
      <c r="AT7" s="15"/>
      <c r="AU7" s="13"/>
      <c r="AV7" s="15"/>
      <c r="AW7" s="13"/>
      <c r="AX7" s="15"/>
      <c r="AY7" s="13"/>
      <c r="AZ7" s="15"/>
      <c r="BA7" s="13"/>
      <c r="BB7" s="15"/>
      <c r="BC7" s="13"/>
      <c r="BD7" s="15"/>
      <c r="BE7" s="13"/>
      <c r="BF7" s="15"/>
      <c r="BG7" s="13"/>
      <c r="BH7" s="15"/>
      <c r="BI7" s="13"/>
      <c r="BJ7" s="15"/>
      <c r="BK7" s="13"/>
      <c r="BL7" s="15"/>
      <c r="BM7" s="13"/>
      <c r="BN7" s="15"/>
      <c r="BO7" s="13"/>
      <c r="BP7" s="15"/>
      <c r="BQ7" s="13"/>
      <c r="BR7" s="15"/>
      <c r="BS7" s="13"/>
      <c r="BT7" s="15"/>
      <c r="BU7" s="13"/>
      <c r="BV7" s="15"/>
      <c r="BW7" s="13"/>
      <c r="BX7" s="15"/>
      <c r="BY7" s="13"/>
    </row>
    <row r="8" spans="1:77">
      <c r="A8" s="26">
        <v>7</v>
      </c>
      <c r="B8" s="27" t="s">
        <v>460</v>
      </c>
      <c r="C8" s="27" t="s">
        <v>1466</v>
      </c>
      <c r="D8" s="27">
        <f t="shared" si="1"/>
        <v>24</v>
      </c>
      <c r="E8" s="28">
        <f t="shared" ca="1" si="2"/>
        <v>1</v>
      </c>
      <c r="F8" s="26"/>
      <c r="H8" s="30" t="s">
        <v>2638</v>
      </c>
      <c r="L8" s="15"/>
      <c r="M8" s="13"/>
      <c r="N8" s="15"/>
      <c r="O8" s="13"/>
      <c r="P8" s="15"/>
      <c r="Q8" s="13"/>
      <c r="R8" s="15"/>
      <c r="S8" s="13"/>
      <c r="T8" s="15"/>
      <c r="U8" s="13"/>
      <c r="V8" s="15"/>
      <c r="W8" s="13"/>
      <c r="X8" s="15"/>
      <c r="Y8" s="13"/>
      <c r="Z8" s="15"/>
      <c r="AA8" s="13"/>
      <c r="AB8" s="15"/>
      <c r="AC8" s="13"/>
      <c r="AD8" s="15"/>
      <c r="AE8" s="13"/>
      <c r="AF8" s="15"/>
      <c r="AG8" s="13"/>
      <c r="AH8" s="15"/>
      <c r="AI8" s="13"/>
      <c r="AJ8" s="15"/>
      <c r="AK8" s="13"/>
      <c r="AL8" s="15"/>
      <c r="AM8" s="13"/>
      <c r="AN8" s="15"/>
      <c r="AO8" s="13"/>
      <c r="AP8" s="15"/>
      <c r="AQ8" s="13"/>
      <c r="AR8" s="15"/>
      <c r="AS8" s="13"/>
      <c r="AT8" s="15"/>
      <c r="AU8" s="13"/>
      <c r="AV8" s="15"/>
      <c r="AW8" s="13"/>
      <c r="AX8" s="15"/>
      <c r="AY8" s="13"/>
      <c r="AZ8" s="15"/>
      <c r="BA8" s="13"/>
      <c r="BB8" s="15"/>
      <c r="BC8" s="13"/>
      <c r="BD8" s="15"/>
      <c r="BE8" s="13"/>
      <c r="BF8" s="15"/>
      <c r="BG8" s="13"/>
      <c r="BH8" s="15"/>
      <c r="BI8" s="13"/>
      <c r="BJ8" s="15"/>
      <c r="BK8" s="13"/>
      <c r="BL8" s="15"/>
      <c r="BM8" s="13"/>
      <c r="BN8" s="15"/>
      <c r="BO8" s="13"/>
      <c r="BP8" s="15"/>
      <c r="BQ8" s="13"/>
      <c r="BR8" s="15"/>
      <c r="BS8" s="13"/>
      <c r="BT8" s="15"/>
      <c r="BU8" s="13"/>
      <c r="BV8" s="15"/>
      <c r="BW8" s="13"/>
      <c r="BX8" s="15"/>
      <c r="BY8" s="13"/>
    </row>
    <row r="9" spans="1:77">
      <c r="A9" s="26">
        <v>8</v>
      </c>
      <c r="B9" s="27" t="s">
        <v>466</v>
      </c>
      <c r="C9" s="27" t="s">
        <v>1467</v>
      </c>
      <c r="D9" s="27">
        <f t="shared" si="1"/>
        <v>26</v>
      </c>
      <c r="E9" s="28">
        <f t="shared" ca="1" si="2"/>
        <v>1</v>
      </c>
      <c r="F9" s="26"/>
      <c r="H9" s="37"/>
      <c r="L9" s="15"/>
      <c r="M9" s="13"/>
      <c r="N9" s="15"/>
      <c r="O9" s="13"/>
      <c r="P9" s="15"/>
      <c r="Q9" s="13"/>
      <c r="R9" s="15"/>
      <c r="S9" s="13"/>
      <c r="T9" s="15"/>
      <c r="U9" s="13"/>
      <c r="V9" s="15"/>
      <c r="W9" s="13"/>
      <c r="X9" s="15"/>
      <c r="Y9" s="13"/>
      <c r="Z9" s="15"/>
      <c r="AA9" s="13"/>
      <c r="AB9" s="15"/>
      <c r="AC9" s="13"/>
      <c r="AD9" s="15"/>
      <c r="AE9" s="13"/>
      <c r="AF9" s="15"/>
      <c r="AG9" s="13"/>
      <c r="AH9" s="15"/>
      <c r="AI9" s="13"/>
      <c r="AJ9" s="15"/>
      <c r="AK9" s="13"/>
      <c r="AL9" s="15"/>
      <c r="AM9" s="13"/>
      <c r="AN9" s="15"/>
      <c r="AO9" s="13"/>
      <c r="AP9" s="15"/>
      <c r="AQ9" s="13"/>
      <c r="AR9" s="15"/>
      <c r="AS9" s="13"/>
      <c r="AT9" s="15"/>
      <c r="AU9" s="13"/>
      <c r="AV9" s="15"/>
      <c r="AW9" s="13"/>
      <c r="AX9" s="15"/>
      <c r="AY9" s="13"/>
      <c r="AZ9" s="15"/>
      <c r="BA9" s="13"/>
      <c r="BB9" s="15"/>
      <c r="BC9" s="13"/>
      <c r="BD9" s="15"/>
      <c r="BE9" s="13"/>
      <c r="BF9" s="15"/>
      <c r="BG9" s="13"/>
      <c r="BH9" s="15"/>
      <c r="BI9" s="13"/>
      <c r="BJ9" s="15"/>
      <c r="BK9" s="13"/>
      <c r="BL9" s="15"/>
      <c r="BM9" s="13"/>
      <c r="BN9" s="15"/>
      <c r="BO9" s="13"/>
      <c r="BP9" s="15"/>
      <c r="BQ9" s="13"/>
      <c r="BR9" s="15"/>
      <c r="BS9" s="13"/>
      <c r="BT9" s="15"/>
      <c r="BU9" s="13"/>
      <c r="BV9" s="15"/>
      <c r="BW9" s="13"/>
      <c r="BX9" s="15"/>
      <c r="BY9" s="13"/>
    </row>
    <row r="10" spans="1:77">
      <c r="A10" s="26">
        <v>9</v>
      </c>
      <c r="B10" s="27" t="s">
        <v>471</v>
      </c>
      <c r="C10" s="27" t="s">
        <v>1468</v>
      </c>
      <c r="D10" s="27">
        <f t="shared" si="1"/>
        <v>28</v>
      </c>
      <c r="E10" s="28">
        <f t="shared" ca="1" si="2"/>
        <v>1</v>
      </c>
      <c r="F10" s="26">
        <v>1</v>
      </c>
      <c r="H10" s="39" t="s">
        <v>2636</v>
      </c>
      <c r="L10" s="15"/>
      <c r="M10" s="13"/>
      <c r="N10" s="15"/>
      <c r="O10" s="13"/>
      <c r="P10" s="15"/>
      <c r="Q10" s="13"/>
      <c r="R10" s="15"/>
      <c r="S10" s="13"/>
      <c r="T10" s="15"/>
      <c r="U10" s="13"/>
      <c r="V10" s="15"/>
      <c r="W10" s="13"/>
      <c r="X10" s="15"/>
      <c r="Y10" s="13"/>
      <c r="Z10" s="15"/>
      <c r="AA10" s="13"/>
      <c r="AB10" s="15"/>
      <c r="AC10" s="13"/>
      <c r="AD10" s="15"/>
      <c r="AE10" s="13"/>
      <c r="AF10" s="15"/>
      <c r="AG10" s="13"/>
      <c r="AH10" s="15"/>
      <c r="AI10" s="13"/>
      <c r="AJ10" s="15"/>
      <c r="AK10" s="13"/>
      <c r="AL10" s="15"/>
      <c r="AM10" s="13"/>
      <c r="AN10" s="15"/>
      <c r="AO10" s="13"/>
      <c r="AP10" s="15"/>
      <c r="AQ10" s="13"/>
      <c r="AR10" s="15"/>
      <c r="AS10" s="13"/>
      <c r="AT10" s="15"/>
      <c r="AU10" s="13"/>
      <c r="AV10" s="15"/>
      <c r="AW10" s="13"/>
      <c r="AX10" s="15"/>
      <c r="AY10" s="13"/>
      <c r="AZ10" s="15"/>
      <c r="BA10" s="13"/>
      <c r="BB10" s="15"/>
      <c r="BC10" s="13"/>
      <c r="BD10" s="15"/>
      <c r="BE10" s="13"/>
      <c r="BF10" s="15"/>
      <c r="BG10" s="13"/>
      <c r="BH10" s="15"/>
      <c r="BI10" s="13"/>
      <c r="BJ10" s="15"/>
      <c r="BK10" s="13"/>
      <c r="BL10" s="15"/>
      <c r="BM10" s="13"/>
      <c r="BN10" s="15"/>
      <c r="BO10" s="13"/>
      <c r="BP10" s="15"/>
      <c r="BQ10" s="13"/>
      <c r="BR10" s="15"/>
      <c r="BS10" s="13"/>
      <c r="BT10" s="15"/>
      <c r="BU10" s="13"/>
      <c r="BV10" s="15"/>
      <c r="BW10" s="13"/>
      <c r="BX10" s="15"/>
      <c r="BY10" s="13"/>
    </row>
    <row r="11" spans="1:77">
      <c r="A11" s="26">
        <v>10</v>
      </c>
      <c r="B11" s="27" t="s">
        <v>476</v>
      </c>
      <c r="C11" s="27" t="s">
        <v>1469</v>
      </c>
      <c r="D11" s="27">
        <f t="shared" si="1"/>
        <v>30</v>
      </c>
      <c r="E11" s="28">
        <f t="shared" ca="1" si="2"/>
        <v>1</v>
      </c>
      <c r="F11" s="26"/>
      <c r="H11" s="30" t="s">
        <v>2637</v>
      </c>
      <c r="L11" s="22"/>
      <c r="M11" s="13"/>
      <c r="N11" s="15"/>
      <c r="O11" s="13"/>
      <c r="P11" s="15"/>
      <c r="Q11" s="13"/>
      <c r="R11" s="15"/>
      <c r="S11" s="13"/>
      <c r="T11" s="15"/>
      <c r="U11" s="13"/>
      <c r="V11" s="15"/>
      <c r="W11" s="13"/>
      <c r="X11" s="15"/>
      <c r="Y11" s="13"/>
      <c r="Z11" s="15"/>
      <c r="AA11" s="13"/>
      <c r="AB11" s="15"/>
      <c r="AC11" s="13"/>
      <c r="AD11" s="15"/>
      <c r="AE11" s="13"/>
      <c r="AF11" s="15"/>
      <c r="AG11" s="13"/>
      <c r="AH11" s="15"/>
      <c r="AI11" s="13"/>
      <c r="AJ11" s="15"/>
      <c r="AK11" s="13"/>
      <c r="AL11" s="15"/>
      <c r="AM11" s="13"/>
      <c r="AN11" s="15"/>
      <c r="AO11" s="13"/>
      <c r="AP11" s="15"/>
      <c r="AQ11" s="13"/>
      <c r="AR11" s="15"/>
      <c r="AS11" s="13"/>
      <c r="AT11" s="15"/>
      <c r="AU11" s="13"/>
      <c r="AV11" s="15"/>
      <c r="AW11" s="13"/>
      <c r="AX11" s="15"/>
      <c r="AY11" s="13"/>
      <c r="AZ11" s="15"/>
      <c r="BA11" s="13"/>
      <c r="BB11" s="15"/>
      <c r="BC11" s="13"/>
      <c r="BD11" s="15"/>
      <c r="BE11" s="13"/>
      <c r="BF11" s="15"/>
      <c r="BG11" s="13"/>
      <c r="BH11" s="15"/>
      <c r="BI11" s="13"/>
      <c r="BJ11" s="15"/>
      <c r="BK11" s="13"/>
      <c r="BL11" s="15"/>
      <c r="BM11" s="13"/>
      <c r="BN11" s="15"/>
      <c r="BO11" s="13"/>
      <c r="BP11" s="15"/>
      <c r="BQ11" s="13"/>
      <c r="BR11" s="15"/>
      <c r="BS11" s="13"/>
      <c r="BT11" s="15"/>
      <c r="BU11" s="13"/>
      <c r="BV11" s="15"/>
      <c r="BW11" s="13"/>
      <c r="BX11" s="15"/>
      <c r="BY11" s="13"/>
    </row>
    <row r="12" spans="1:77">
      <c r="A12" s="26">
        <v>11</v>
      </c>
      <c r="B12" s="27" t="s">
        <v>481</v>
      </c>
      <c r="C12" s="27" t="s">
        <v>1470</v>
      </c>
      <c r="D12" s="27">
        <f t="shared" si="1"/>
        <v>32</v>
      </c>
      <c r="E12" s="28">
        <f t="shared" ca="1" si="2"/>
        <v>0</v>
      </c>
      <c r="F12" s="26"/>
      <c r="H12" s="37"/>
      <c r="L12" s="22"/>
      <c r="M12" s="13"/>
      <c r="N12" s="15"/>
      <c r="O12" s="13"/>
      <c r="P12" s="15"/>
      <c r="Q12" s="13"/>
      <c r="R12" s="15"/>
      <c r="S12" s="13"/>
      <c r="T12" s="15"/>
      <c r="U12" s="13"/>
      <c r="V12" s="15"/>
      <c r="W12" s="13"/>
      <c r="X12" s="15"/>
      <c r="Y12" s="13"/>
      <c r="Z12" s="15"/>
      <c r="AA12" s="13"/>
      <c r="AB12" s="15"/>
      <c r="AC12" s="13"/>
      <c r="AD12" s="15"/>
      <c r="AE12" s="13"/>
      <c r="AF12" s="15"/>
      <c r="AG12" s="13"/>
      <c r="AH12" s="15"/>
      <c r="AI12" s="13"/>
      <c r="AJ12" s="15"/>
      <c r="AK12" s="13"/>
      <c r="AL12" s="15"/>
      <c r="AM12" s="13"/>
      <c r="AN12" s="15"/>
      <c r="AO12" s="13"/>
      <c r="AP12" s="15"/>
      <c r="AQ12" s="13"/>
      <c r="AR12" s="15"/>
      <c r="AS12" s="13"/>
      <c r="AT12" s="15"/>
      <c r="AU12" s="13"/>
      <c r="AV12" s="15"/>
      <c r="AW12" s="13"/>
      <c r="AX12" s="15"/>
      <c r="AY12" s="13"/>
      <c r="AZ12" s="15"/>
      <c r="BA12" s="13"/>
      <c r="BB12" s="15"/>
      <c r="BC12" s="13"/>
      <c r="BD12" s="15"/>
      <c r="BE12" s="13"/>
      <c r="BF12" s="15"/>
      <c r="BG12" s="13"/>
      <c r="BH12" s="15"/>
      <c r="BI12" s="13"/>
      <c r="BJ12" s="15"/>
      <c r="BK12" s="13"/>
      <c r="BL12" s="15"/>
      <c r="BM12" s="13"/>
      <c r="BN12" s="15"/>
      <c r="BO12" s="13"/>
      <c r="BP12" s="15"/>
      <c r="BQ12" s="13"/>
      <c r="BR12" s="15"/>
      <c r="BS12" s="13"/>
      <c r="BT12" s="15"/>
      <c r="BU12" s="13"/>
      <c r="BV12" s="15"/>
      <c r="BW12" s="13"/>
      <c r="BX12" s="15"/>
      <c r="BY12" s="13"/>
    </row>
    <row r="13" spans="1:77">
      <c r="A13" s="26">
        <v>12</v>
      </c>
      <c r="B13" s="27" t="s">
        <v>3784</v>
      </c>
      <c r="C13" s="27" t="s">
        <v>1483</v>
      </c>
      <c r="D13" s="27">
        <f t="shared" si="1"/>
        <v>34</v>
      </c>
      <c r="E13" s="28">
        <f t="shared" ca="1" si="2"/>
        <v>0</v>
      </c>
      <c r="F13" s="26"/>
      <c r="H13" s="37"/>
      <c r="L13" s="22"/>
      <c r="M13" s="13"/>
      <c r="N13" s="15"/>
      <c r="O13" s="13"/>
      <c r="P13" s="15"/>
      <c r="Q13" s="13"/>
      <c r="R13" s="15"/>
      <c r="S13" s="13"/>
      <c r="T13" s="15"/>
      <c r="U13" s="13"/>
      <c r="V13" s="15"/>
      <c r="W13" s="13"/>
      <c r="X13" s="15"/>
      <c r="Y13" s="13"/>
      <c r="Z13" s="15"/>
      <c r="AA13" s="13"/>
      <c r="AB13" s="15"/>
      <c r="AC13" s="13"/>
      <c r="AD13" s="15"/>
      <c r="AE13" s="13"/>
      <c r="AF13" s="15"/>
      <c r="AG13" s="13"/>
      <c r="AH13" s="15"/>
      <c r="AI13" s="13"/>
      <c r="AJ13" s="15"/>
      <c r="AK13" s="13"/>
      <c r="AL13" s="15"/>
      <c r="AM13" s="13"/>
      <c r="AN13" s="15"/>
      <c r="AO13" s="13"/>
      <c r="AP13" s="15"/>
      <c r="AQ13" s="13"/>
      <c r="AR13" s="15"/>
      <c r="AS13" s="13"/>
      <c r="AT13" s="15"/>
      <c r="AU13" s="13"/>
      <c r="AV13" s="15"/>
      <c r="AW13" s="13"/>
      <c r="AX13" s="15"/>
      <c r="AY13" s="13"/>
      <c r="AZ13" s="15"/>
      <c r="BA13" s="13"/>
      <c r="BB13" s="15"/>
      <c r="BC13" s="13"/>
      <c r="BD13" s="15"/>
      <c r="BE13" s="13"/>
      <c r="BF13" s="15"/>
      <c r="BG13" s="13"/>
      <c r="BH13" s="15"/>
      <c r="BI13" s="13"/>
      <c r="BJ13" s="15"/>
      <c r="BK13" s="13"/>
      <c r="BL13" s="15"/>
      <c r="BM13" s="13"/>
      <c r="BN13" s="15"/>
      <c r="BO13" s="13"/>
      <c r="BP13" s="15"/>
      <c r="BQ13" s="13"/>
      <c r="BR13" s="15"/>
      <c r="BS13" s="13"/>
      <c r="BT13" s="15"/>
      <c r="BU13" s="13"/>
      <c r="BV13" s="15"/>
      <c r="BW13" s="13"/>
      <c r="BX13" s="15"/>
      <c r="BY13" s="13"/>
    </row>
    <row r="14" spans="1:77">
      <c r="A14" s="26">
        <v>13</v>
      </c>
      <c r="B14" s="27" t="s">
        <v>3785</v>
      </c>
      <c r="C14" s="27" t="s">
        <v>1484</v>
      </c>
      <c r="D14" s="27">
        <f t="shared" si="1"/>
        <v>36</v>
      </c>
      <c r="E14" s="28">
        <f t="shared" ca="1" si="2"/>
        <v>0</v>
      </c>
      <c r="F14" s="26"/>
      <c r="H14" s="37"/>
      <c r="L14" s="22"/>
      <c r="M14" s="13"/>
      <c r="N14" s="15"/>
      <c r="O14" s="13"/>
      <c r="P14" s="15"/>
      <c r="Q14" s="13"/>
      <c r="R14" s="15"/>
      <c r="S14" s="13"/>
      <c r="T14" s="15"/>
      <c r="U14" s="13"/>
      <c r="V14" s="15"/>
      <c r="W14" s="13"/>
      <c r="X14" s="15"/>
      <c r="Y14" s="13"/>
      <c r="Z14" s="15"/>
      <c r="AA14" s="13"/>
      <c r="AB14" s="15"/>
      <c r="AC14" s="13"/>
      <c r="AD14" s="15"/>
      <c r="AE14" s="13"/>
      <c r="AF14" s="15"/>
      <c r="AG14" s="13"/>
      <c r="AH14" s="15"/>
      <c r="AI14" s="13"/>
      <c r="AJ14" s="15"/>
      <c r="AK14" s="13"/>
      <c r="AL14" s="15"/>
      <c r="AM14" s="13"/>
      <c r="AN14" s="15"/>
      <c r="AO14" s="13"/>
      <c r="AP14" s="15"/>
      <c r="AQ14" s="13"/>
      <c r="AR14" s="15"/>
      <c r="AS14" s="13"/>
      <c r="AT14" s="15"/>
      <c r="AU14" s="13"/>
      <c r="AV14" s="15"/>
      <c r="AW14" s="13"/>
      <c r="AX14" s="15"/>
      <c r="AY14" s="13"/>
      <c r="AZ14" s="15"/>
      <c r="BA14" s="13"/>
      <c r="BB14" s="15"/>
      <c r="BC14" s="13"/>
      <c r="BD14" s="15"/>
      <c r="BE14" s="13"/>
      <c r="BF14" s="15"/>
      <c r="BG14" s="13"/>
      <c r="BH14" s="15"/>
      <c r="BI14" s="13"/>
      <c r="BJ14" s="15"/>
      <c r="BK14" s="13"/>
      <c r="BL14" s="15"/>
      <c r="BM14" s="13"/>
      <c r="BN14" s="15"/>
      <c r="BO14" s="13"/>
      <c r="BP14" s="15"/>
      <c r="BQ14" s="13"/>
      <c r="BR14" s="15"/>
      <c r="BS14" s="13"/>
      <c r="BT14" s="15"/>
      <c r="BU14" s="13"/>
      <c r="BV14" s="15"/>
      <c r="BW14" s="13"/>
      <c r="BX14" s="15"/>
      <c r="BY14" s="13"/>
    </row>
    <row r="15" spans="1:77">
      <c r="A15" s="26">
        <v>14</v>
      </c>
      <c r="B15" s="27" t="s">
        <v>3786</v>
      </c>
      <c r="C15" s="27" t="s">
        <v>1485</v>
      </c>
      <c r="D15" s="27">
        <f t="shared" si="1"/>
        <v>38</v>
      </c>
      <c r="E15" s="28">
        <f t="shared" ca="1" si="2"/>
        <v>0</v>
      </c>
      <c r="F15" s="26"/>
      <c r="H15" s="37"/>
      <c r="L15" s="22"/>
      <c r="M15" s="13"/>
      <c r="N15" s="15"/>
      <c r="O15" s="13"/>
      <c r="P15" s="15"/>
      <c r="Q15" s="13"/>
      <c r="R15" s="15"/>
      <c r="S15" s="13"/>
      <c r="T15" s="15"/>
      <c r="U15" s="13"/>
      <c r="V15" s="15"/>
      <c r="W15" s="13"/>
      <c r="X15" s="15"/>
      <c r="Y15" s="13"/>
      <c r="Z15" s="15"/>
      <c r="AA15" s="13"/>
      <c r="AB15" s="15"/>
      <c r="AC15" s="13"/>
      <c r="AD15" s="15"/>
      <c r="AE15" s="13"/>
      <c r="AF15" s="15"/>
      <c r="AG15" s="13"/>
      <c r="AH15" s="15"/>
      <c r="AI15" s="13"/>
      <c r="AJ15" s="15"/>
      <c r="AK15" s="13"/>
      <c r="AL15" s="15"/>
      <c r="AM15" s="13"/>
      <c r="AN15" s="15"/>
      <c r="AO15" s="13"/>
      <c r="AP15" s="15"/>
      <c r="AQ15" s="13"/>
      <c r="AR15" s="15"/>
      <c r="AS15" s="13"/>
      <c r="AT15" s="15"/>
      <c r="AU15" s="13"/>
      <c r="AV15" s="15"/>
      <c r="AW15" s="13"/>
      <c r="AX15" s="15"/>
      <c r="AY15" s="13"/>
      <c r="AZ15" s="15"/>
      <c r="BA15" s="13"/>
      <c r="BB15" s="15"/>
      <c r="BC15" s="13"/>
      <c r="BD15" s="15"/>
      <c r="BE15" s="13"/>
      <c r="BF15" s="15"/>
      <c r="BG15" s="13"/>
      <c r="BH15" s="15"/>
      <c r="BI15" s="13"/>
      <c r="BJ15" s="15"/>
      <c r="BK15" s="13"/>
      <c r="BL15" s="15"/>
      <c r="BM15" s="13"/>
      <c r="BN15" s="15"/>
      <c r="BO15" s="13"/>
      <c r="BP15" s="15"/>
      <c r="BQ15" s="13"/>
      <c r="BR15" s="15"/>
      <c r="BS15" s="13"/>
      <c r="BT15" s="15"/>
      <c r="BU15" s="13"/>
      <c r="BV15" s="15"/>
      <c r="BW15" s="13"/>
      <c r="BX15" s="15"/>
      <c r="BY15" s="13"/>
    </row>
    <row r="16" spans="1:77">
      <c r="A16" s="26">
        <v>15</v>
      </c>
      <c r="B16" s="27" t="s">
        <v>3787</v>
      </c>
      <c r="C16" s="27" t="s">
        <v>1486</v>
      </c>
      <c r="D16" s="27">
        <f t="shared" si="1"/>
        <v>40</v>
      </c>
      <c r="E16" s="28">
        <f t="shared" ca="1" si="2"/>
        <v>0</v>
      </c>
      <c r="F16" s="26"/>
      <c r="H16" s="37"/>
      <c r="L16" s="22"/>
      <c r="M16" s="13"/>
      <c r="N16" s="15"/>
      <c r="O16" s="13"/>
      <c r="P16" s="15"/>
      <c r="Q16" s="13"/>
      <c r="R16" s="15"/>
      <c r="S16" s="13"/>
      <c r="T16" s="15"/>
      <c r="U16" s="13"/>
      <c r="V16" s="15"/>
      <c r="W16" s="13"/>
      <c r="X16" s="15"/>
      <c r="Y16" s="13"/>
      <c r="Z16" s="15"/>
      <c r="AA16" s="13"/>
      <c r="AB16" s="15"/>
      <c r="AC16" s="13"/>
      <c r="AD16" s="15"/>
      <c r="AE16" s="13"/>
      <c r="AF16" s="15"/>
      <c r="AG16" s="13"/>
      <c r="AH16" s="15"/>
      <c r="AI16" s="13"/>
      <c r="AJ16" s="15"/>
      <c r="AK16" s="13"/>
      <c r="AL16" s="15"/>
      <c r="AM16" s="13"/>
      <c r="AN16" s="15"/>
      <c r="AO16" s="13"/>
      <c r="AP16" s="15"/>
      <c r="AQ16" s="13"/>
      <c r="AR16" s="15"/>
      <c r="AS16" s="13"/>
      <c r="AT16" s="15"/>
      <c r="AU16" s="13"/>
      <c r="AV16" s="15"/>
      <c r="AW16" s="13"/>
      <c r="AX16" s="15"/>
      <c r="AY16" s="13"/>
      <c r="AZ16" s="15"/>
      <c r="BA16" s="13"/>
      <c r="BB16" s="15"/>
      <c r="BC16" s="13"/>
      <c r="BD16" s="15"/>
      <c r="BE16" s="13"/>
      <c r="BF16" s="15"/>
      <c r="BG16" s="13"/>
      <c r="BH16" s="15"/>
      <c r="BI16" s="13"/>
      <c r="BJ16" s="15"/>
      <c r="BK16" s="13"/>
      <c r="BL16" s="15"/>
      <c r="BM16" s="13"/>
      <c r="BN16" s="15"/>
      <c r="BO16" s="13"/>
      <c r="BP16" s="15"/>
      <c r="BQ16" s="13"/>
      <c r="BR16" s="15"/>
      <c r="BS16" s="13"/>
      <c r="BT16" s="15"/>
      <c r="BU16" s="13"/>
      <c r="BV16" s="15"/>
      <c r="BW16" s="13"/>
      <c r="BX16" s="15"/>
      <c r="BY16" s="13"/>
    </row>
    <row r="17" spans="1:77">
      <c r="A17" s="26">
        <v>16</v>
      </c>
      <c r="B17" s="27" t="s">
        <v>3788</v>
      </c>
      <c r="C17" s="27" t="s">
        <v>1487</v>
      </c>
      <c r="D17" s="27">
        <f t="shared" si="1"/>
        <v>42</v>
      </c>
      <c r="E17" s="28">
        <f t="shared" ca="1" si="2"/>
        <v>0</v>
      </c>
      <c r="F17" s="26"/>
      <c r="H17" s="37"/>
      <c r="L17" s="22"/>
      <c r="M17" s="13"/>
      <c r="N17" s="15"/>
      <c r="O17" s="13"/>
      <c r="P17" s="15"/>
      <c r="Q17" s="13"/>
      <c r="R17" s="15"/>
      <c r="S17" s="13"/>
      <c r="T17" s="15"/>
      <c r="U17" s="13"/>
      <c r="V17" s="15"/>
      <c r="W17" s="13"/>
      <c r="X17" s="15"/>
      <c r="Y17" s="13"/>
      <c r="Z17" s="15"/>
      <c r="AA17" s="13"/>
      <c r="AB17" s="15"/>
      <c r="AC17" s="13"/>
      <c r="AD17" s="15"/>
      <c r="AE17" s="13"/>
      <c r="AF17" s="15"/>
      <c r="AG17" s="13"/>
      <c r="AH17" s="15"/>
      <c r="AI17" s="13"/>
      <c r="AJ17" s="15"/>
      <c r="AK17" s="13"/>
      <c r="AL17" s="15"/>
      <c r="AM17" s="13"/>
      <c r="AN17" s="15"/>
      <c r="AO17" s="13"/>
      <c r="AP17" s="15"/>
      <c r="AQ17" s="13"/>
      <c r="AR17" s="15"/>
      <c r="AS17" s="13"/>
      <c r="AT17" s="15"/>
      <c r="AU17" s="13"/>
      <c r="AV17" s="15"/>
      <c r="AW17" s="13"/>
      <c r="AX17" s="15"/>
      <c r="AY17" s="13"/>
      <c r="AZ17" s="15"/>
      <c r="BA17" s="13"/>
      <c r="BB17" s="15"/>
      <c r="BC17" s="13"/>
      <c r="BD17" s="15"/>
      <c r="BE17" s="13"/>
      <c r="BF17" s="15"/>
      <c r="BG17" s="13"/>
      <c r="BH17" s="15"/>
      <c r="BI17" s="13"/>
      <c r="BJ17" s="15"/>
      <c r="BK17" s="13"/>
      <c r="BL17" s="15"/>
      <c r="BM17" s="13"/>
      <c r="BN17" s="15"/>
      <c r="BO17" s="13"/>
      <c r="BP17" s="15"/>
      <c r="BQ17" s="13"/>
      <c r="BR17" s="15"/>
      <c r="BS17" s="13"/>
      <c r="BT17" s="15"/>
      <c r="BU17" s="13"/>
      <c r="BV17" s="15"/>
      <c r="BW17" s="13"/>
      <c r="BX17" s="15"/>
      <c r="BY17" s="13"/>
    </row>
    <row r="18" spans="1:77">
      <c r="A18" s="26">
        <v>17</v>
      </c>
      <c r="B18" s="27" t="s">
        <v>3789</v>
      </c>
      <c r="C18" s="27" t="s">
        <v>3794</v>
      </c>
      <c r="D18" s="27">
        <f t="shared" si="1"/>
        <v>44</v>
      </c>
      <c r="E18" s="28">
        <f t="shared" ca="1" si="2"/>
        <v>0</v>
      </c>
      <c r="F18" s="26"/>
      <c r="H18" s="37"/>
      <c r="L18" s="22"/>
      <c r="M18" s="13"/>
      <c r="N18" s="15"/>
      <c r="O18" s="13"/>
      <c r="P18" s="15"/>
      <c r="Q18" s="13"/>
      <c r="R18" s="15"/>
      <c r="S18" s="13"/>
      <c r="T18" s="15"/>
      <c r="U18" s="13"/>
      <c r="V18" s="15"/>
      <c r="W18" s="13"/>
      <c r="X18" s="15"/>
      <c r="Y18" s="13"/>
      <c r="Z18" s="15"/>
      <c r="AA18" s="13"/>
      <c r="AB18" s="15"/>
      <c r="AC18" s="13"/>
      <c r="AD18" s="15"/>
      <c r="AE18" s="13"/>
      <c r="AF18" s="15"/>
      <c r="AG18" s="13"/>
      <c r="AH18" s="15"/>
      <c r="AI18" s="13"/>
      <c r="AJ18" s="15"/>
      <c r="AK18" s="13"/>
      <c r="AL18" s="15"/>
      <c r="AM18" s="13"/>
      <c r="AN18" s="15"/>
      <c r="AO18" s="13"/>
      <c r="AP18" s="15"/>
      <c r="AQ18" s="13"/>
      <c r="AR18" s="15"/>
      <c r="AS18" s="13"/>
      <c r="AT18" s="15"/>
      <c r="AU18" s="13"/>
      <c r="AV18" s="15"/>
      <c r="AW18" s="13"/>
      <c r="AX18" s="15"/>
      <c r="AY18" s="13"/>
      <c r="AZ18" s="15"/>
      <c r="BA18" s="13"/>
      <c r="BB18" s="15"/>
      <c r="BC18" s="13"/>
      <c r="BD18" s="15"/>
      <c r="BE18" s="13"/>
      <c r="BF18" s="15"/>
      <c r="BG18" s="13"/>
      <c r="BH18" s="15"/>
      <c r="BI18" s="13"/>
      <c r="BJ18" s="15"/>
      <c r="BK18" s="13"/>
      <c r="BL18" s="15"/>
      <c r="BM18" s="13"/>
      <c r="BN18" s="15"/>
      <c r="BO18" s="13"/>
      <c r="BP18" s="15"/>
      <c r="BQ18" s="13"/>
      <c r="BR18" s="15"/>
      <c r="BS18" s="13"/>
      <c r="BT18" s="15"/>
      <c r="BU18" s="13"/>
      <c r="BV18" s="15"/>
      <c r="BW18" s="13"/>
      <c r="BX18" s="15"/>
      <c r="BY18" s="13"/>
    </row>
    <row r="19" spans="1:77">
      <c r="A19" s="26">
        <v>18</v>
      </c>
      <c r="B19" s="27" t="s">
        <v>3790</v>
      </c>
      <c r="C19" s="27" t="s">
        <v>3795</v>
      </c>
      <c r="D19" s="27">
        <f t="shared" si="1"/>
        <v>46</v>
      </c>
      <c r="E19" s="28">
        <f t="shared" ca="1" si="2"/>
        <v>0</v>
      </c>
      <c r="F19" s="26"/>
      <c r="H19" s="37"/>
      <c r="L19" s="22"/>
      <c r="M19" s="13"/>
      <c r="N19" s="15"/>
      <c r="O19" s="13"/>
      <c r="P19" s="15"/>
      <c r="Q19" s="13"/>
      <c r="R19" s="15"/>
      <c r="S19" s="13"/>
      <c r="T19" s="15"/>
      <c r="U19" s="13"/>
      <c r="V19" s="15"/>
      <c r="W19" s="13"/>
      <c r="X19" s="15"/>
      <c r="Y19" s="13"/>
      <c r="Z19" s="15"/>
      <c r="AA19" s="13"/>
      <c r="AB19" s="15"/>
      <c r="AC19" s="13"/>
      <c r="AD19" s="15"/>
      <c r="AE19" s="13"/>
      <c r="AF19" s="15"/>
      <c r="AG19" s="13"/>
      <c r="AH19" s="15"/>
      <c r="AI19" s="13"/>
      <c r="AJ19" s="15"/>
      <c r="AK19" s="13"/>
      <c r="AL19" s="15"/>
      <c r="AM19" s="13"/>
      <c r="AN19" s="15"/>
      <c r="AO19" s="13"/>
      <c r="AP19" s="15"/>
      <c r="AQ19" s="13"/>
      <c r="AR19" s="15"/>
      <c r="AS19" s="13"/>
      <c r="AT19" s="15"/>
      <c r="AU19" s="13"/>
      <c r="AV19" s="15"/>
      <c r="AW19" s="13"/>
      <c r="AX19" s="15"/>
      <c r="AY19" s="13"/>
      <c r="AZ19" s="15"/>
      <c r="BA19" s="13"/>
      <c r="BB19" s="15"/>
      <c r="BC19" s="13"/>
      <c r="BD19" s="15"/>
      <c r="BE19" s="13"/>
      <c r="BF19" s="15"/>
      <c r="BG19" s="13"/>
      <c r="BH19" s="15"/>
      <c r="BI19" s="13"/>
      <c r="BJ19" s="15"/>
      <c r="BK19" s="13"/>
      <c r="BL19" s="15"/>
      <c r="BM19" s="13"/>
      <c r="BN19" s="15"/>
      <c r="BO19" s="13"/>
      <c r="BP19" s="15"/>
      <c r="BQ19" s="13"/>
      <c r="BR19" s="15"/>
      <c r="BS19" s="13"/>
      <c r="BT19" s="15"/>
      <c r="BU19" s="13"/>
      <c r="BV19" s="15"/>
      <c r="BW19" s="13"/>
      <c r="BX19" s="15"/>
      <c r="BY19" s="13"/>
    </row>
    <row r="20" spans="1:77">
      <c r="A20" s="26">
        <v>19</v>
      </c>
      <c r="B20" s="27" t="s">
        <v>3791</v>
      </c>
      <c r="C20" s="27" t="s">
        <v>3796</v>
      </c>
      <c r="D20" s="27">
        <f t="shared" si="1"/>
        <v>48</v>
      </c>
      <c r="E20" s="28">
        <f t="shared" ca="1" si="2"/>
        <v>0</v>
      </c>
      <c r="F20" s="26"/>
      <c r="H20" s="37"/>
      <c r="L20" s="22"/>
      <c r="M20" s="13"/>
      <c r="N20" s="15"/>
      <c r="O20" s="13"/>
      <c r="P20" s="15"/>
      <c r="Q20" s="13"/>
      <c r="R20" s="15"/>
      <c r="S20" s="13"/>
      <c r="T20" s="15"/>
      <c r="U20" s="13"/>
      <c r="V20" s="15"/>
      <c r="W20" s="13"/>
      <c r="X20" s="15"/>
      <c r="Y20" s="13"/>
      <c r="Z20" s="15"/>
      <c r="AA20" s="13"/>
      <c r="AB20" s="15"/>
      <c r="AC20" s="13"/>
      <c r="AD20" s="15"/>
      <c r="AE20" s="13"/>
      <c r="AF20" s="15"/>
      <c r="AG20" s="13"/>
      <c r="AH20" s="15"/>
      <c r="AI20" s="13"/>
      <c r="AJ20" s="15"/>
      <c r="AK20" s="13"/>
      <c r="AL20" s="15"/>
      <c r="AM20" s="13"/>
      <c r="AN20" s="15"/>
      <c r="AO20" s="13"/>
      <c r="AP20" s="15"/>
      <c r="AQ20" s="13"/>
      <c r="AR20" s="15"/>
      <c r="AS20" s="13"/>
      <c r="AT20" s="15"/>
      <c r="AU20" s="13"/>
      <c r="AV20" s="15"/>
      <c r="AW20" s="13"/>
      <c r="AX20" s="15"/>
      <c r="AY20" s="13"/>
      <c r="AZ20" s="15"/>
      <c r="BA20" s="13"/>
      <c r="BB20" s="15"/>
      <c r="BC20" s="13"/>
      <c r="BD20" s="15"/>
      <c r="BE20" s="13"/>
      <c r="BF20" s="15"/>
      <c r="BG20" s="13"/>
      <c r="BH20" s="15"/>
      <c r="BI20" s="13"/>
      <c r="BJ20" s="15"/>
      <c r="BK20" s="13"/>
      <c r="BL20" s="15"/>
      <c r="BM20" s="13"/>
      <c r="BN20" s="15"/>
      <c r="BO20" s="13"/>
      <c r="BP20" s="15"/>
      <c r="BQ20" s="13"/>
      <c r="BR20" s="15"/>
      <c r="BS20" s="13"/>
      <c r="BT20" s="15"/>
      <c r="BU20" s="13"/>
      <c r="BV20" s="15"/>
      <c r="BW20" s="13"/>
      <c r="BX20" s="15"/>
      <c r="BY20" s="13"/>
    </row>
    <row r="21" spans="1:77">
      <c r="A21" s="26">
        <v>20</v>
      </c>
      <c r="B21" s="27" t="s">
        <v>3792</v>
      </c>
      <c r="C21" s="27" t="s">
        <v>3797</v>
      </c>
      <c r="D21" s="27">
        <f t="shared" si="1"/>
        <v>50</v>
      </c>
      <c r="E21" s="28">
        <f t="shared" ca="1" si="2"/>
        <v>0</v>
      </c>
      <c r="F21" s="26"/>
      <c r="H21" s="37"/>
      <c r="L21" s="22"/>
      <c r="M21" s="13"/>
      <c r="N21" s="15"/>
      <c r="O21" s="13"/>
      <c r="P21" s="15"/>
      <c r="Q21" s="13"/>
      <c r="R21" s="15"/>
      <c r="S21" s="13"/>
      <c r="T21" s="15"/>
      <c r="U21" s="13"/>
      <c r="V21" s="15"/>
      <c r="W21" s="13"/>
      <c r="X21" s="15"/>
      <c r="Y21" s="13"/>
      <c r="Z21" s="15"/>
      <c r="AA21" s="13"/>
      <c r="AB21" s="15"/>
      <c r="AC21" s="13"/>
      <c r="AD21" s="15"/>
      <c r="AE21" s="13"/>
      <c r="AF21" s="15"/>
      <c r="AG21" s="13"/>
      <c r="AH21" s="15"/>
      <c r="AI21" s="13"/>
      <c r="AJ21" s="15"/>
      <c r="AK21" s="13"/>
      <c r="AL21" s="15"/>
      <c r="AM21" s="13"/>
      <c r="AN21" s="15"/>
      <c r="AO21" s="13"/>
      <c r="AP21" s="15"/>
      <c r="AQ21" s="13"/>
      <c r="AR21" s="15"/>
      <c r="AS21" s="13"/>
      <c r="AT21" s="15"/>
      <c r="AU21" s="13"/>
      <c r="AV21" s="15"/>
      <c r="AW21" s="13"/>
      <c r="AX21" s="15"/>
      <c r="AY21" s="13"/>
      <c r="AZ21" s="15"/>
      <c r="BA21" s="13"/>
      <c r="BB21" s="15"/>
      <c r="BC21" s="13"/>
      <c r="BD21" s="15"/>
      <c r="BE21" s="13"/>
      <c r="BF21" s="15"/>
      <c r="BG21" s="13"/>
      <c r="BH21" s="15"/>
      <c r="BI21" s="13"/>
      <c r="BJ21" s="15"/>
      <c r="BK21" s="13"/>
      <c r="BL21" s="15"/>
      <c r="BM21" s="13"/>
      <c r="BN21" s="15"/>
      <c r="BO21" s="13"/>
      <c r="BP21" s="15"/>
      <c r="BQ21" s="13"/>
      <c r="BR21" s="15"/>
      <c r="BS21" s="13"/>
      <c r="BT21" s="15"/>
      <c r="BU21" s="13"/>
      <c r="BV21" s="15"/>
      <c r="BW21" s="13"/>
      <c r="BX21" s="15"/>
      <c r="BY21" s="13"/>
    </row>
    <row r="22" spans="1:77">
      <c r="A22" s="26">
        <v>21</v>
      </c>
      <c r="B22" s="27" t="s">
        <v>3793</v>
      </c>
      <c r="C22" s="27" t="s">
        <v>3798</v>
      </c>
      <c r="D22" s="27">
        <f t="shared" si="1"/>
        <v>52</v>
      </c>
      <c r="E22" s="28">
        <f t="shared" ca="1" si="2"/>
        <v>0</v>
      </c>
      <c r="F22" s="26"/>
      <c r="H22" s="37"/>
      <c r="L22" s="22"/>
      <c r="M22" s="13"/>
      <c r="N22" s="15"/>
      <c r="O22" s="13"/>
      <c r="P22" s="15"/>
      <c r="Q22" s="13"/>
      <c r="R22" s="15"/>
      <c r="S22" s="13"/>
      <c r="T22" s="15"/>
      <c r="U22" s="13"/>
      <c r="V22" s="15"/>
      <c r="W22" s="13"/>
      <c r="X22" s="15"/>
      <c r="Y22" s="13"/>
      <c r="Z22" s="15"/>
      <c r="AA22" s="13"/>
      <c r="AB22" s="15"/>
      <c r="AC22" s="13"/>
      <c r="AD22" s="15"/>
      <c r="AE22" s="13"/>
      <c r="AF22" s="15"/>
      <c r="AG22" s="13"/>
      <c r="AH22" s="15"/>
      <c r="AI22" s="13"/>
      <c r="AJ22" s="15"/>
      <c r="AK22" s="13"/>
      <c r="AL22" s="15"/>
      <c r="AM22" s="13"/>
      <c r="AN22" s="15"/>
      <c r="AO22" s="13"/>
      <c r="AP22" s="15"/>
      <c r="AQ22" s="13"/>
      <c r="AR22" s="15"/>
      <c r="AS22" s="13"/>
      <c r="AT22" s="15"/>
      <c r="AU22" s="13"/>
      <c r="AV22" s="15"/>
      <c r="AW22" s="13"/>
      <c r="AX22" s="15"/>
      <c r="AY22" s="13"/>
      <c r="AZ22" s="15"/>
      <c r="BA22" s="13"/>
      <c r="BB22" s="15"/>
      <c r="BC22" s="13"/>
      <c r="BD22" s="15"/>
      <c r="BE22" s="13"/>
      <c r="BF22" s="15"/>
      <c r="BG22" s="13"/>
      <c r="BH22" s="15"/>
      <c r="BI22" s="13"/>
      <c r="BJ22" s="15"/>
      <c r="BK22" s="13"/>
      <c r="BL22" s="15"/>
      <c r="BM22" s="13"/>
      <c r="BN22" s="15"/>
      <c r="BO22" s="13"/>
      <c r="BP22" s="15"/>
      <c r="BQ22" s="13"/>
      <c r="BR22" s="15"/>
      <c r="BS22" s="13"/>
      <c r="BT22" s="15"/>
      <c r="BU22" s="13"/>
      <c r="BV22" s="15"/>
      <c r="BW22" s="13"/>
      <c r="BX22" s="15"/>
      <c r="BY22" s="13"/>
    </row>
    <row r="23" spans="1:77">
      <c r="A23" s="26">
        <v>22</v>
      </c>
      <c r="B23" s="27" t="s">
        <v>605</v>
      </c>
      <c r="C23" s="27" t="s">
        <v>1493</v>
      </c>
      <c r="D23" s="27">
        <f t="shared" si="1"/>
        <v>54</v>
      </c>
      <c r="E23" s="28">
        <f t="shared" ca="1" si="2"/>
        <v>3</v>
      </c>
      <c r="F23" s="26"/>
      <c r="H23" s="40"/>
      <c r="L23" s="22"/>
      <c r="M23" s="13"/>
      <c r="N23" s="15"/>
      <c r="O23" s="13"/>
      <c r="P23" s="15"/>
      <c r="Q23" s="13"/>
      <c r="R23" s="15"/>
      <c r="S23" s="13"/>
      <c r="T23" s="15"/>
      <c r="U23" s="13"/>
      <c r="V23" s="15"/>
      <c r="W23" s="13"/>
      <c r="X23" s="15"/>
      <c r="Y23" s="13"/>
      <c r="Z23" s="15"/>
      <c r="AA23" s="13"/>
      <c r="AB23" s="15"/>
      <c r="AC23" s="13"/>
      <c r="AD23" s="15"/>
      <c r="AE23" s="13"/>
      <c r="AF23" s="15"/>
      <c r="AG23" s="13"/>
      <c r="AH23" s="15"/>
      <c r="AI23" s="13"/>
      <c r="AJ23" s="15"/>
      <c r="AK23" s="13"/>
      <c r="AL23" s="15"/>
      <c r="AM23" s="13"/>
      <c r="AN23" s="15"/>
      <c r="AO23" s="13"/>
      <c r="AP23" s="15"/>
      <c r="AQ23" s="13"/>
      <c r="AR23" s="15"/>
      <c r="AS23" s="13"/>
      <c r="AT23" s="15"/>
      <c r="AU23" s="13"/>
      <c r="AV23" s="15"/>
      <c r="AW23" s="13"/>
      <c r="AX23" s="15"/>
      <c r="AY23" s="13"/>
      <c r="AZ23" s="15"/>
      <c r="BA23" s="13"/>
      <c r="BB23" s="15"/>
      <c r="BC23" s="13"/>
      <c r="BD23" s="15"/>
      <c r="BE23" s="13"/>
      <c r="BF23" s="15"/>
      <c r="BG23" s="13"/>
      <c r="BH23" s="15"/>
      <c r="BI23" s="13"/>
      <c r="BJ23" s="15"/>
      <c r="BK23" s="13"/>
      <c r="BL23" s="15"/>
      <c r="BM23" s="13"/>
      <c r="BN23" s="15"/>
      <c r="BO23" s="13"/>
      <c r="BP23" s="15"/>
      <c r="BQ23" s="13"/>
      <c r="BR23" s="15"/>
      <c r="BS23" s="13"/>
      <c r="BT23" s="15"/>
      <c r="BU23" s="13"/>
      <c r="BV23" s="15"/>
      <c r="BW23" s="13"/>
      <c r="BX23" s="15"/>
      <c r="BY23" s="13"/>
    </row>
    <row r="24" spans="1:77">
      <c r="A24" s="26">
        <v>23</v>
      </c>
      <c r="B24" s="27" t="s">
        <v>610</v>
      </c>
      <c r="C24" s="27" t="s">
        <v>1494</v>
      </c>
      <c r="D24" s="27">
        <f t="shared" si="1"/>
        <v>56</v>
      </c>
      <c r="E24" s="28">
        <f t="shared" ca="1" si="2"/>
        <v>1</v>
      </c>
      <c r="F24" s="26"/>
      <c r="H24" s="40"/>
      <c r="L24" s="22"/>
      <c r="M24" s="13"/>
      <c r="N24" s="15"/>
      <c r="O24" s="13"/>
      <c r="P24" s="15"/>
      <c r="Q24" s="13"/>
      <c r="R24" s="15"/>
      <c r="S24" s="13"/>
      <c r="T24" s="15"/>
      <c r="U24" s="13"/>
      <c r="V24" s="15"/>
      <c r="W24" s="13"/>
      <c r="X24" s="15"/>
      <c r="Y24" s="13"/>
      <c r="Z24" s="15"/>
      <c r="AA24" s="13"/>
      <c r="AB24" s="15"/>
      <c r="AC24" s="13"/>
      <c r="AD24" s="15"/>
      <c r="AE24" s="13"/>
      <c r="AF24" s="15"/>
      <c r="AG24" s="13"/>
      <c r="AH24" s="15"/>
      <c r="AI24" s="13"/>
      <c r="AJ24" s="15"/>
      <c r="AK24" s="13"/>
      <c r="AL24" s="15"/>
      <c r="AM24" s="13"/>
      <c r="AN24" s="15"/>
      <c r="AO24" s="13"/>
      <c r="AP24" s="15"/>
      <c r="AQ24" s="13"/>
      <c r="AR24" s="15"/>
      <c r="AS24" s="13"/>
      <c r="AT24" s="15"/>
      <c r="AU24" s="13"/>
      <c r="AV24" s="15"/>
      <c r="AW24" s="13"/>
      <c r="AX24" s="15"/>
      <c r="AY24" s="13"/>
      <c r="AZ24" s="15"/>
      <c r="BA24" s="13"/>
      <c r="BB24" s="15"/>
      <c r="BC24" s="13"/>
      <c r="BD24" s="15"/>
      <c r="BE24" s="13"/>
      <c r="BF24" s="15"/>
      <c r="BG24" s="13"/>
      <c r="BH24" s="15"/>
      <c r="BI24" s="13"/>
      <c r="BJ24" s="15"/>
      <c r="BK24" s="13"/>
      <c r="BL24" s="15"/>
      <c r="BM24" s="13"/>
      <c r="BN24" s="15"/>
      <c r="BO24" s="13"/>
      <c r="BP24" s="15"/>
      <c r="BQ24" s="13"/>
      <c r="BR24" s="15"/>
      <c r="BS24" s="13"/>
      <c r="BT24" s="15"/>
      <c r="BU24" s="13"/>
      <c r="BV24" s="15"/>
      <c r="BW24" s="13"/>
      <c r="BX24" s="15"/>
      <c r="BY24" s="13"/>
    </row>
    <row r="25" spans="1:77">
      <c r="A25" s="26">
        <v>24</v>
      </c>
      <c r="B25" s="27" t="s">
        <v>616</v>
      </c>
      <c r="C25" s="27" t="s">
        <v>1495</v>
      </c>
      <c r="D25" s="27">
        <f t="shared" si="1"/>
        <v>58</v>
      </c>
      <c r="E25" s="28">
        <f t="shared" ca="1" si="2"/>
        <v>1</v>
      </c>
      <c r="F25" s="26"/>
      <c r="H25" s="40"/>
      <c r="L25" s="22"/>
      <c r="M25" s="13"/>
      <c r="N25" s="15"/>
      <c r="O25" s="13"/>
      <c r="P25" s="15"/>
      <c r="Q25" s="13"/>
      <c r="R25" s="15"/>
      <c r="S25" s="13"/>
      <c r="T25" s="15"/>
      <c r="U25" s="13"/>
      <c r="V25" s="15"/>
      <c r="W25" s="13"/>
      <c r="X25" s="15"/>
      <c r="Y25" s="13"/>
      <c r="Z25" s="15"/>
      <c r="AA25" s="13"/>
      <c r="AB25" s="15"/>
      <c r="AC25" s="13"/>
      <c r="AD25" s="15"/>
      <c r="AE25" s="13"/>
      <c r="AF25" s="15"/>
      <c r="AG25" s="13"/>
      <c r="AH25" s="15"/>
      <c r="AI25" s="13"/>
      <c r="AJ25" s="15"/>
      <c r="AK25" s="13"/>
      <c r="AL25" s="15"/>
      <c r="AM25" s="13"/>
      <c r="AN25" s="15"/>
      <c r="AO25" s="13"/>
      <c r="AP25" s="15"/>
      <c r="AQ25" s="13"/>
      <c r="AR25" s="15"/>
      <c r="AS25" s="13"/>
      <c r="AT25" s="15"/>
      <c r="AU25" s="13"/>
      <c r="AV25" s="15"/>
      <c r="AW25" s="13"/>
      <c r="AX25" s="15"/>
      <c r="AY25" s="13"/>
      <c r="AZ25" s="15"/>
      <c r="BA25" s="13"/>
      <c r="BB25" s="15"/>
      <c r="BC25" s="13"/>
      <c r="BD25" s="15"/>
      <c r="BE25" s="13"/>
      <c r="BF25" s="15"/>
      <c r="BG25" s="13"/>
      <c r="BH25" s="15"/>
      <c r="BI25" s="13"/>
      <c r="BJ25" s="15"/>
      <c r="BK25" s="13"/>
      <c r="BL25" s="15"/>
      <c r="BM25" s="13"/>
      <c r="BN25" s="15"/>
      <c r="BO25" s="13"/>
      <c r="BP25" s="15"/>
      <c r="BQ25" s="13"/>
      <c r="BR25" s="15"/>
      <c r="BS25" s="13"/>
      <c r="BT25" s="15"/>
      <c r="BU25" s="13"/>
      <c r="BV25" s="15"/>
      <c r="BW25" s="13"/>
      <c r="BX25" s="15"/>
      <c r="BY25" s="13"/>
    </row>
    <row r="26" spans="1:77">
      <c r="A26" s="26">
        <v>25</v>
      </c>
      <c r="B26" s="27" t="s">
        <v>627</v>
      </c>
      <c r="C26" s="27" t="s">
        <v>1497</v>
      </c>
      <c r="D26" s="27">
        <f t="shared" si="1"/>
        <v>60</v>
      </c>
      <c r="E26" s="28">
        <f t="shared" ca="1" si="2"/>
        <v>1</v>
      </c>
      <c r="F26" s="26"/>
      <c r="H26" s="38"/>
      <c r="L26" s="22"/>
      <c r="M26" s="13"/>
      <c r="N26" s="15"/>
      <c r="O26" s="13"/>
      <c r="P26" s="15"/>
      <c r="Q26" s="13"/>
      <c r="R26" s="15"/>
      <c r="S26" s="13"/>
      <c r="T26" s="15"/>
      <c r="U26" s="13"/>
      <c r="V26" s="15"/>
      <c r="W26" s="13"/>
      <c r="X26" s="15"/>
      <c r="Y26" s="13"/>
      <c r="Z26" s="15"/>
      <c r="AA26" s="13"/>
      <c r="AB26" s="15"/>
      <c r="AC26" s="13"/>
      <c r="AD26" s="15"/>
      <c r="AE26" s="13"/>
      <c r="AF26" s="15"/>
      <c r="AG26" s="13"/>
      <c r="AH26" s="15"/>
      <c r="AI26" s="13"/>
      <c r="AJ26" s="15"/>
      <c r="AK26" s="13"/>
      <c r="AL26" s="15"/>
      <c r="AM26" s="13"/>
      <c r="AN26" s="15"/>
      <c r="AO26" s="13"/>
      <c r="AP26" s="15"/>
      <c r="AQ26" s="13"/>
      <c r="AR26" s="15"/>
      <c r="AS26" s="13"/>
      <c r="AT26" s="15"/>
      <c r="AU26" s="13"/>
      <c r="AV26" s="15"/>
      <c r="AW26" s="13"/>
      <c r="AX26" s="15"/>
      <c r="AY26" s="13"/>
      <c r="AZ26" s="15"/>
      <c r="BA26" s="13"/>
      <c r="BB26" s="15"/>
      <c r="BC26" s="13"/>
      <c r="BD26" s="15"/>
      <c r="BE26" s="13"/>
      <c r="BF26" s="15"/>
      <c r="BG26" s="13"/>
      <c r="BH26" s="15"/>
      <c r="BI26" s="13"/>
      <c r="BJ26" s="15"/>
      <c r="BK26" s="13"/>
      <c r="BL26" s="15"/>
      <c r="BM26" s="13"/>
      <c r="BN26" s="15"/>
      <c r="BO26" s="13"/>
      <c r="BP26" s="15"/>
      <c r="BQ26" s="13"/>
      <c r="BR26" s="15"/>
      <c r="BS26" s="13"/>
      <c r="BT26" s="15"/>
      <c r="BU26" s="13"/>
      <c r="BV26" s="15"/>
      <c r="BW26" s="13"/>
      <c r="BX26" s="15"/>
      <c r="BY26" s="13"/>
    </row>
    <row r="27" spans="1:77">
      <c r="A27" s="26">
        <v>26</v>
      </c>
      <c r="B27" s="27" t="s">
        <v>1663</v>
      </c>
      <c r="C27" s="27" t="s">
        <v>1500</v>
      </c>
      <c r="D27" s="27">
        <f t="shared" si="1"/>
        <v>62</v>
      </c>
      <c r="E27" s="28">
        <f t="shared" ca="1" si="2"/>
        <v>1</v>
      </c>
      <c r="F27" s="26"/>
      <c r="H27" s="38"/>
      <c r="L27" s="22"/>
      <c r="M27" s="13"/>
      <c r="N27" s="15"/>
      <c r="O27" s="13"/>
      <c r="P27" s="15"/>
      <c r="Q27" s="13"/>
      <c r="R27" s="15"/>
      <c r="S27" s="13"/>
      <c r="T27" s="15"/>
      <c r="U27" s="13"/>
      <c r="V27" s="15"/>
      <c r="W27" s="13"/>
      <c r="X27" s="15"/>
      <c r="Y27" s="13"/>
      <c r="Z27" s="15"/>
      <c r="AA27" s="13"/>
      <c r="AB27" s="15"/>
      <c r="AC27" s="13"/>
      <c r="AD27" s="15"/>
      <c r="AE27" s="13"/>
      <c r="AF27" s="15"/>
      <c r="AG27" s="13"/>
      <c r="AH27" s="15"/>
      <c r="AI27" s="13"/>
      <c r="AJ27" s="15"/>
      <c r="AK27" s="13"/>
      <c r="AL27" s="15"/>
      <c r="AM27" s="13"/>
      <c r="AN27" s="15"/>
      <c r="AO27" s="13"/>
      <c r="AP27" s="15"/>
      <c r="AQ27" s="13"/>
      <c r="AR27" s="15"/>
      <c r="AS27" s="13"/>
      <c r="AT27" s="15"/>
      <c r="AU27" s="13"/>
      <c r="AV27" s="15"/>
      <c r="AW27" s="13"/>
      <c r="AX27" s="15"/>
      <c r="AY27" s="13"/>
      <c r="AZ27" s="15"/>
      <c r="BA27" s="13"/>
      <c r="BB27" s="15"/>
      <c r="BC27" s="13"/>
      <c r="BD27" s="15"/>
      <c r="BE27" s="13"/>
      <c r="BF27" s="15"/>
      <c r="BG27" s="13"/>
      <c r="BH27" s="15"/>
      <c r="BI27" s="13"/>
      <c r="BJ27" s="15"/>
      <c r="BK27" s="13"/>
      <c r="BL27" s="15"/>
      <c r="BM27" s="13"/>
      <c r="BN27" s="15"/>
      <c r="BO27" s="13"/>
      <c r="BP27" s="15"/>
      <c r="BQ27" s="13"/>
      <c r="BR27" s="15"/>
      <c r="BS27" s="13"/>
      <c r="BT27" s="15"/>
      <c r="BU27" s="13"/>
      <c r="BV27" s="15"/>
      <c r="BW27" s="13"/>
      <c r="BX27" s="15"/>
      <c r="BY27" s="13"/>
    </row>
    <row r="28" spans="1:77">
      <c r="A28" s="26">
        <v>27</v>
      </c>
      <c r="B28" s="27" t="s">
        <v>714</v>
      </c>
      <c r="C28" s="27" t="s">
        <v>1513</v>
      </c>
      <c r="D28" s="27">
        <f t="shared" si="1"/>
        <v>64</v>
      </c>
      <c r="E28" s="28">
        <f t="shared" ca="1" si="2"/>
        <v>0</v>
      </c>
      <c r="F28" s="26"/>
      <c r="H28" s="38"/>
      <c r="L28" s="22"/>
      <c r="M28" s="13"/>
      <c r="N28" s="15"/>
      <c r="O28" s="13"/>
      <c r="P28" s="15"/>
      <c r="Q28" s="13"/>
      <c r="R28" s="15"/>
      <c r="S28" s="13"/>
      <c r="T28" s="15"/>
      <c r="U28" s="13"/>
      <c r="V28" s="15"/>
      <c r="W28" s="13"/>
      <c r="X28" s="15"/>
      <c r="Y28" s="13"/>
      <c r="Z28" s="15"/>
      <c r="AA28" s="13"/>
      <c r="AB28" s="15"/>
      <c r="AC28" s="13"/>
      <c r="AD28" s="15"/>
      <c r="AE28" s="13"/>
      <c r="AF28" s="15"/>
      <c r="AG28" s="13"/>
      <c r="AH28" s="15"/>
      <c r="AI28" s="13"/>
      <c r="AJ28" s="15"/>
      <c r="AK28" s="13"/>
      <c r="AL28" s="15"/>
      <c r="AM28" s="13"/>
      <c r="AN28" s="15"/>
      <c r="AO28" s="13"/>
      <c r="AP28" s="15"/>
      <c r="AQ28" s="13"/>
      <c r="AR28" s="15"/>
      <c r="AS28" s="13"/>
      <c r="AT28" s="15"/>
      <c r="AU28" s="13"/>
      <c r="AV28" s="15"/>
      <c r="AW28" s="13"/>
      <c r="AX28" s="15"/>
      <c r="AY28" s="13"/>
      <c r="AZ28" s="15"/>
      <c r="BA28" s="13"/>
      <c r="BB28" s="15"/>
      <c r="BC28" s="13"/>
      <c r="BD28" s="15"/>
      <c r="BE28" s="13"/>
      <c r="BF28" s="15"/>
      <c r="BG28" s="13"/>
      <c r="BH28" s="15"/>
      <c r="BI28" s="13"/>
      <c r="BJ28" s="15"/>
      <c r="BK28" s="13"/>
      <c r="BL28" s="15"/>
      <c r="BM28" s="13"/>
      <c r="BN28" s="15"/>
      <c r="BO28" s="13"/>
      <c r="BP28" s="15"/>
      <c r="BQ28" s="13"/>
      <c r="BR28" s="15"/>
      <c r="BS28" s="13"/>
      <c r="BT28" s="15"/>
      <c r="BU28" s="13"/>
      <c r="BV28" s="15"/>
      <c r="BW28" s="13"/>
      <c r="BX28" s="15"/>
      <c r="BY28" s="13"/>
    </row>
    <row r="29" spans="1:77">
      <c r="A29" s="26">
        <v>28</v>
      </c>
      <c r="B29" s="27" t="s">
        <v>719</v>
      </c>
      <c r="C29" s="27" t="s">
        <v>1514</v>
      </c>
      <c r="D29" s="27">
        <f t="shared" si="1"/>
        <v>66</v>
      </c>
      <c r="E29" s="28">
        <f t="shared" ca="1" si="2"/>
        <v>0</v>
      </c>
      <c r="F29" s="26"/>
      <c r="H29" s="38"/>
      <c r="L29" s="22"/>
      <c r="M29" s="13"/>
      <c r="N29" s="15"/>
      <c r="O29" s="13"/>
      <c r="P29" s="15"/>
      <c r="Q29" s="13"/>
      <c r="R29" s="15"/>
      <c r="S29" s="13"/>
      <c r="T29" s="15"/>
      <c r="U29" s="13"/>
      <c r="V29" s="15"/>
      <c r="W29" s="13"/>
      <c r="X29" s="15"/>
      <c r="Y29" s="13"/>
      <c r="Z29" s="15"/>
      <c r="AA29" s="13"/>
      <c r="AB29" s="15"/>
      <c r="AC29" s="13"/>
      <c r="AD29" s="15"/>
      <c r="AE29" s="13"/>
      <c r="AF29" s="15"/>
      <c r="AG29" s="13"/>
      <c r="AH29" s="15"/>
      <c r="AI29" s="13"/>
      <c r="AJ29" s="15"/>
      <c r="AK29" s="13"/>
      <c r="AL29" s="15"/>
      <c r="AM29" s="13"/>
      <c r="AN29" s="15"/>
      <c r="AO29" s="13"/>
      <c r="AP29" s="15"/>
      <c r="AQ29" s="13"/>
      <c r="AR29" s="15"/>
      <c r="AS29" s="13"/>
      <c r="AT29" s="15"/>
      <c r="AU29" s="13"/>
      <c r="AV29" s="15"/>
      <c r="AW29" s="13"/>
      <c r="AX29" s="15"/>
      <c r="AY29" s="13"/>
      <c r="AZ29" s="15"/>
      <c r="BA29" s="13"/>
      <c r="BB29" s="15"/>
      <c r="BC29" s="13"/>
      <c r="BD29" s="15"/>
      <c r="BE29" s="13"/>
      <c r="BF29" s="15"/>
      <c r="BG29" s="13"/>
      <c r="BH29" s="15"/>
      <c r="BI29" s="13"/>
      <c r="BJ29" s="15"/>
      <c r="BK29" s="13"/>
      <c r="BL29" s="15"/>
      <c r="BM29" s="13"/>
      <c r="BN29" s="15"/>
      <c r="BO29" s="13"/>
      <c r="BP29" s="15"/>
      <c r="BQ29" s="13"/>
      <c r="BR29" s="15"/>
      <c r="BS29" s="13"/>
      <c r="BT29" s="15"/>
      <c r="BU29" s="13"/>
      <c r="BV29" s="15"/>
      <c r="BW29" s="13"/>
      <c r="BX29" s="15"/>
      <c r="BY29" s="13"/>
    </row>
    <row r="30" spans="1:77">
      <c r="A30" s="26">
        <v>29</v>
      </c>
      <c r="B30" s="27" t="s">
        <v>737</v>
      </c>
      <c r="C30" s="27" t="s">
        <v>1518</v>
      </c>
      <c r="D30" s="27">
        <f t="shared" si="1"/>
        <v>68</v>
      </c>
      <c r="E30" s="28">
        <f t="shared" ca="1" si="2"/>
        <v>0</v>
      </c>
      <c r="F30" s="26"/>
      <c r="H30" s="38"/>
      <c r="L30" s="22"/>
      <c r="M30" s="13"/>
      <c r="N30" s="15"/>
      <c r="O30" s="13"/>
      <c r="P30" s="15"/>
      <c r="Q30" s="13"/>
      <c r="R30" s="15"/>
      <c r="S30" s="13"/>
      <c r="T30" s="15"/>
      <c r="U30" s="13"/>
      <c r="V30" s="15"/>
      <c r="W30" s="13"/>
      <c r="X30" s="15"/>
      <c r="Y30" s="13"/>
      <c r="Z30" s="15"/>
      <c r="AA30" s="13"/>
      <c r="AB30" s="15"/>
      <c r="AC30" s="13"/>
      <c r="AD30" s="15"/>
      <c r="AE30" s="13"/>
      <c r="AF30" s="15"/>
      <c r="AG30" s="13"/>
      <c r="AH30" s="15"/>
      <c r="AI30" s="13"/>
      <c r="AJ30" s="15"/>
      <c r="AK30" s="13"/>
      <c r="AL30" s="15"/>
      <c r="AM30" s="13"/>
      <c r="AN30" s="15"/>
      <c r="AO30" s="13"/>
      <c r="AP30" s="15"/>
      <c r="AQ30" s="13"/>
      <c r="AR30" s="15"/>
      <c r="AS30" s="13"/>
      <c r="AT30" s="15"/>
      <c r="AU30" s="13"/>
      <c r="AV30" s="15"/>
      <c r="AW30" s="13"/>
      <c r="AX30" s="15"/>
      <c r="AY30" s="13"/>
      <c r="AZ30" s="15"/>
      <c r="BA30" s="13"/>
      <c r="BB30" s="15"/>
      <c r="BC30" s="13"/>
      <c r="BD30" s="15"/>
      <c r="BE30" s="13"/>
      <c r="BF30" s="15"/>
      <c r="BG30" s="13"/>
      <c r="BH30" s="15"/>
      <c r="BI30" s="13"/>
      <c r="BJ30" s="15"/>
      <c r="BK30" s="13"/>
      <c r="BL30" s="15"/>
      <c r="BM30" s="13"/>
      <c r="BN30" s="15"/>
      <c r="BO30" s="13"/>
      <c r="BP30" s="15"/>
      <c r="BQ30" s="13"/>
      <c r="BR30" s="15"/>
      <c r="BS30" s="13"/>
      <c r="BT30" s="15"/>
      <c r="BU30" s="13"/>
      <c r="BV30" s="15"/>
      <c r="BW30" s="13"/>
      <c r="BX30" s="15"/>
      <c r="BY30" s="13"/>
    </row>
    <row r="31" spans="1:77">
      <c r="A31" s="26">
        <v>30</v>
      </c>
      <c r="B31" s="27" t="s">
        <v>742</v>
      </c>
      <c r="C31" s="27" t="s">
        <v>1519</v>
      </c>
      <c r="D31" s="27">
        <f t="shared" si="1"/>
        <v>70</v>
      </c>
      <c r="E31" s="28">
        <f t="shared" ca="1" si="2"/>
        <v>0</v>
      </c>
      <c r="F31" s="26"/>
      <c r="H31" s="38"/>
      <c r="L31" s="22"/>
      <c r="M31" s="13"/>
      <c r="N31" s="15"/>
      <c r="O31" s="13"/>
      <c r="P31" s="15"/>
      <c r="Q31" s="13"/>
      <c r="R31" s="15"/>
      <c r="S31" s="13"/>
      <c r="T31" s="15"/>
      <c r="U31" s="13"/>
      <c r="V31" s="15"/>
      <c r="W31" s="13"/>
      <c r="X31" s="15"/>
      <c r="Y31" s="13"/>
      <c r="Z31" s="15"/>
      <c r="AA31" s="13"/>
      <c r="AB31" s="15"/>
      <c r="AC31" s="13"/>
      <c r="AD31" s="15"/>
      <c r="AE31" s="13"/>
      <c r="AF31" s="15"/>
      <c r="AG31" s="13"/>
      <c r="AH31" s="15"/>
      <c r="AI31" s="13"/>
      <c r="AJ31" s="15"/>
      <c r="AK31" s="13"/>
      <c r="AL31" s="15"/>
      <c r="AM31" s="13"/>
      <c r="AN31" s="15"/>
      <c r="AO31" s="13"/>
      <c r="AP31" s="15"/>
      <c r="AQ31" s="13"/>
      <c r="AR31" s="15"/>
      <c r="AS31" s="13"/>
      <c r="AT31" s="15"/>
      <c r="AU31" s="13"/>
      <c r="AV31" s="15"/>
      <c r="AW31" s="13"/>
      <c r="AX31" s="15"/>
      <c r="AY31" s="13"/>
      <c r="AZ31" s="15"/>
      <c r="BA31" s="13"/>
      <c r="BB31" s="15"/>
      <c r="BC31" s="13"/>
      <c r="BD31" s="15"/>
      <c r="BE31" s="13"/>
      <c r="BF31" s="15"/>
      <c r="BG31" s="13"/>
      <c r="BH31" s="15"/>
      <c r="BI31" s="13"/>
      <c r="BJ31" s="15"/>
      <c r="BK31" s="13"/>
      <c r="BL31" s="15"/>
      <c r="BM31" s="13"/>
      <c r="BN31" s="15"/>
      <c r="BO31" s="13"/>
      <c r="BP31" s="15"/>
      <c r="BQ31" s="13"/>
      <c r="BR31" s="15"/>
      <c r="BS31" s="13"/>
      <c r="BT31" s="15"/>
      <c r="BU31" s="13"/>
      <c r="BV31" s="15"/>
      <c r="BW31" s="13"/>
      <c r="BX31" s="15"/>
      <c r="BY31" s="13"/>
    </row>
    <row r="32" spans="1:77">
      <c r="A32" s="26">
        <v>31</v>
      </c>
      <c r="B32" s="27" t="s">
        <v>747</v>
      </c>
      <c r="C32" s="27" t="s">
        <v>1520</v>
      </c>
      <c r="D32" s="27">
        <f t="shared" si="1"/>
        <v>72</v>
      </c>
      <c r="E32" s="28">
        <f t="shared" ca="1" si="2"/>
        <v>0</v>
      </c>
      <c r="F32" s="26"/>
      <c r="H32" s="38"/>
      <c r="L32" s="22"/>
      <c r="M32" s="13"/>
      <c r="N32" s="15"/>
      <c r="O32" s="13"/>
      <c r="P32" s="15"/>
      <c r="Q32" s="13"/>
      <c r="R32" s="15"/>
      <c r="S32" s="13"/>
      <c r="T32" s="15"/>
      <c r="U32" s="13"/>
      <c r="V32" s="15"/>
      <c r="W32" s="13"/>
      <c r="X32" s="15"/>
      <c r="Y32" s="13"/>
      <c r="Z32" s="15"/>
      <c r="AA32" s="13"/>
      <c r="AB32" s="15"/>
      <c r="AC32" s="13"/>
      <c r="AD32" s="15"/>
      <c r="AE32" s="13"/>
      <c r="AF32" s="15"/>
      <c r="AG32" s="13"/>
      <c r="AH32" s="15"/>
      <c r="AI32" s="13"/>
      <c r="AJ32" s="15"/>
      <c r="AK32" s="13"/>
      <c r="AL32" s="15"/>
      <c r="AM32" s="13"/>
      <c r="AN32" s="15"/>
      <c r="AO32" s="13"/>
      <c r="AP32" s="15"/>
      <c r="AQ32" s="13"/>
      <c r="AR32" s="15"/>
      <c r="AS32" s="13"/>
      <c r="AT32" s="15"/>
      <c r="AU32" s="13"/>
      <c r="AV32" s="15"/>
      <c r="AW32" s="13"/>
      <c r="AX32" s="15"/>
      <c r="AY32" s="13"/>
      <c r="AZ32" s="15"/>
      <c r="BA32" s="13"/>
      <c r="BB32" s="15"/>
      <c r="BC32" s="13"/>
      <c r="BD32" s="15"/>
      <c r="BE32" s="13"/>
      <c r="BF32" s="15"/>
      <c r="BG32" s="13"/>
      <c r="BH32" s="15"/>
      <c r="BI32" s="13"/>
      <c r="BJ32" s="15"/>
      <c r="BK32" s="13"/>
      <c r="BL32" s="15"/>
      <c r="BM32" s="13"/>
      <c r="BN32" s="15"/>
      <c r="BO32" s="13"/>
      <c r="BP32" s="15"/>
      <c r="BQ32" s="13"/>
      <c r="BR32" s="15"/>
      <c r="BS32" s="13"/>
      <c r="BT32" s="15"/>
      <c r="BU32" s="13"/>
      <c r="BV32" s="15"/>
      <c r="BW32" s="13"/>
      <c r="BX32" s="15"/>
      <c r="BY32" s="13"/>
    </row>
    <row r="33" spans="1:77">
      <c r="A33" s="26">
        <v>32</v>
      </c>
      <c r="B33" s="27" t="s">
        <v>752</v>
      </c>
      <c r="C33" s="27" t="s">
        <v>1521</v>
      </c>
      <c r="D33" s="27">
        <f t="shared" si="1"/>
        <v>74</v>
      </c>
      <c r="E33" s="28">
        <f t="shared" ca="1" si="2"/>
        <v>0</v>
      </c>
      <c r="F33" s="26"/>
      <c r="H33" s="38"/>
      <c r="L33" s="22"/>
      <c r="M33" s="13"/>
      <c r="N33" s="15"/>
      <c r="O33" s="13"/>
      <c r="P33" s="15"/>
      <c r="Q33" s="13"/>
      <c r="R33" s="15"/>
      <c r="S33" s="13"/>
      <c r="T33" s="15"/>
      <c r="U33" s="13"/>
      <c r="V33" s="15"/>
      <c r="W33" s="13"/>
      <c r="X33" s="15"/>
      <c r="Y33" s="13"/>
      <c r="Z33" s="15"/>
      <c r="AA33" s="13"/>
      <c r="AB33" s="15"/>
      <c r="AC33" s="13"/>
      <c r="AD33" s="15"/>
      <c r="AE33" s="13"/>
      <c r="AF33" s="15"/>
      <c r="AG33" s="13"/>
      <c r="AH33" s="15"/>
      <c r="AI33" s="13"/>
      <c r="AJ33" s="15"/>
      <c r="AK33" s="13"/>
      <c r="AL33" s="15"/>
      <c r="AM33" s="13"/>
      <c r="AN33" s="15"/>
      <c r="AO33" s="13"/>
      <c r="AP33" s="15"/>
      <c r="AQ33" s="13"/>
      <c r="AR33" s="15"/>
      <c r="AS33" s="13"/>
      <c r="AT33" s="15"/>
      <c r="AU33" s="13"/>
      <c r="AV33" s="15"/>
      <c r="AW33" s="13"/>
      <c r="AX33" s="15"/>
      <c r="AY33" s="13"/>
      <c r="AZ33" s="15"/>
      <c r="BA33" s="13"/>
      <c r="BB33" s="15"/>
      <c r="BC33" s="13"/>
      <c r="BD33" s="15"/>
      <c r="BE33" s="13"/>
      <c r="BF33" s="15"/>
      <c r="BG33" s="13"/>
      <c r="BH33" s="15"/>
      <c r="BI33" s="13"/>
      <c r="BJ33" s="15"/>
      <c r="BK33" s="13"/>
      <c r="BL33" s="15"/>
      <c r="BM33" s="13"/>
      <c r="BN33" s="15"/>
      <c r="BO33" s="13"/>
      <c r="BP33" s="15"/>
      <c r="BQ33" s="13"/>
      <c r="BR33" s="15"/>
      <c r="BS33" s="13"/>
      <c r="BT33" s="15"/>
      <c r="BU33" s="13"/>
      <c r="BV33" s="15"/>
      <c r="BW33" s="13"/>
      <c r="BX33" s="15"/>
      <c r="BY33" s="13"/>
    </row>
    <row r="34" spans="1:77">
      <c r="A34" s="26">
        <v>33</v>
      </c>
      <c r="B34" s="27" t="s">
        <v>757</v>
      </c>
      <c r="C34" s="27" t="s">
        <v>1522</v>
      </c>
      <c r="D34" s="27">
        <f t="shared" si="1"/>
        <v>76</v>
      </c>
      <c r="E34" s="28">
        <f t="shared" ca="1" si="2"/>
        <v>0</v>
      </c>
      <c r="F34" s="26"/>
      <c r="H34" s="38"/>
      <c r="L34" s="22"/>
      <c r="M34" s="13"/>
      <c r="N34" s="15"/>
      <c r="O34" s="13"/>
      <c r="P34" s="15"/>
      <c r="Q34" s="13"/>
      <c r="R34" s="15"/>
      <c r="S34" s="13"/>
      <c r="T34" s="15"/>
      <c r="U34" s="13"/>
      <c r="V34" s="15"/>
      <c r="W34" s="13"/>
      <c r="X34" s="15"/>
      <c r="Y34" s="13"/>
      <c r="Z34" s="15"/>
      <c r="AA34" s="13"/>
      <c r="AB34" s="15"/>
      <c r="AC34" s="13"/>
      <c r="AD34" s="15"/>
      <c r="AE34" s="13"/>
      <c r="AF34" s="15"/>
      <c r="AG34" s="13"/>
      <c r="AH34" s="15"/>
      <c r="AI34" s="13"/>
      <c r="AJ34" s="15"/>
      <c r="AK34" s="13"/>
      <c r="AL34" s="15"/>
      <c r="AM34" s="13"/>
      <c r="AN34" s="15"/>
      <c r="AO34" s="13"/>
      <c r="AP34" s="15"/>
      <c r="AQ34" s="13"/>
      <c r="AR34" s="15"/>
      <c r="AS34" s="13"/>
      <c r="AT34" s="15"/>
      <c r="AU34" s="13"/>
      <c r="AV34" s="15"/>
      <c r="AW34" s="13"/>
      <c r="AX34" s="15"/>
      <c r="AY34" s="13"/>
      <c r="AZ34" s="15"/>
      <c r="BA34" s="13"/>
      <c r="BB34" s="15"/>
      <c r="BC34" s="13"/>
      <c r="BD34" s="15"/>
      <c r="BE34" s="13"/>
      <c r="BF34" s="15"/>
      <c r="BG34" s="13"/>
      <c r="BH34" s="15"/>
      <c r="BI34" s="13"/>
      <c r="BJ34" s="15"/>
      <c r="BK34" s="13"/>
      <c r="BL34" s="15"/>
      <c r="BM34" s="13"/>
      <c r="BN34" s="15"/>
      <c r="BO34" s="13"/>
      <c r="BP34" s="15"/>
      <c r="BQ34" s="13"/>
      <c r="BR34" s="15"/>
      <c r="BS34" s="13"/>
      <c r="BT34" s="15"/>
      <c r="BU34" s="13"/>
      <c r="BV34" s="15"/>
      <c r="BW34" s="13"/>
      <c r="BX34" s="15"/>
      <c r="BY34" s="13"/>
    </row>
    <row r="35" spans="1:77">
      <c r="A35" s="26">
        <v>34</v>
      </c>
      <c r="B35" s="27" t="s">
        <v>765</v>
      </c>
      <c r="C35" s="27" t="s">
        <v>1523</v>
      </c>
      <c r="D35" s="27">
        <f t="shared" si="1"/>
        <v>78</v>
      </c>
      <c r="E35" s="28">
        <f t="shared" ca="1" si="2"/>
        <v>0</v>
      </c>
      <c r="F35" s="26"/>
      <c r="H35" s="38"/>
      <c r="L35" s="22"/>
      <c r="M35" s="13"/>
      <c r="N35" s="15"/>
      <c r="O35" s="13"/>
      <c r="P35" s="15"/>
      <c r="Q35" s="13"/>
      <c r="R35" s="15"/>
      <c r="S35" s="13"/>
      <c r="T35" s="15"/>
      <c r="U35" s="13"/>
      <c r="V35" s="15"/>
      <c r="W35" s="13"/>
      <c r="X35" s="15"/>
      <c r="Y35" s="13"/>
      <c r="Z35" s="15"/>
      <c r="AA35" s="13"/>
      <c r="AB35" s="15"/>
      <c r="AC35" s="13"/>
      <c r="AD35" s="15"/>
      <c r="AE35" s="13"/>
      <c r="AF35" s="15"/>
      <c r="AG35" s="13"/>
      <c r="AH35" s="15"/>
      <c r="AI35" s="13"/>
      <c r="AJ35" s="15"/>
      <c r="AK35" s="13"/>
      <c r="AL35" s="15"/>
      <c r="AM35" s="13"/>
      <c r="AN35" s="15"/>
      <c r="AO35" s="13"/>
      <c r="AP35" s="15"/>
      <c r="AQ35" s="13"/>
      <c r="AR35" s="15"/>
      <c r="AS35" s="13"/>
      <c r="AT35" s="15"/>
      <c r="AU35" s="13"/>
      <c r="AV35" s="15"/>
      <c r="AW35" s="13"/>
      <c r="AX35" s="15"/>
      <c r="AY35" s="13"/>
      <c r="AZ35" s="15"/>
      <c r="BA35" s="13"/>
      <c r="BB35" s="15"/>
      <c r="BC35" s="13"/>
      <c r="BD35" s="15"/>
      <c r="BE35" s="13"/>
      <c r="BF35" s="15"/>
      <c r="BG35" s="13"/>
      <c r="BH35" s="15"/>
      <c r="BI35" s="13"/>
      <c r="BJ35" s="15"/>
      <c r="BK35" s="13"/>
      <c r="BL35" s="15"/>
      <c r="BM35" s="13"/>
      <c r="BN35" s="15"/>
      <c r="BO35" s="13"/>
      <c r="BP35" s="15"/>
      <c r="BQ35" s="13"/>
      <c r="BR35" s="15"/>
      <c r="BS35" s="13"/>
      <c r="BT35" s="15"/>
      <c r="BU35" s="13"/>
      <c r="BV35" s="15"/>
      <c r="BW35" s="13"/>
      <c r="BX35" s="15"/>
      <c r="BY35" s="13"/>
    </row>
    <row r="36" spans="1:77">
      <c r="A36" s="26">
        <v>35</v>
      </c>
      <c r="B36" s="27" t="s">
        <v>773</v>
      </c>
      <c r="C36" s="27" t="s">
        <v>1524</v>
      </c>
      <c r="D36" s="27">
        <f t="shared" si="1"/>
        <v>80</v>
      </c>
      <c r="E36" s="28">
        <f t="shared" ca="1" si="2"/>
        <v>0</v>
      </c>
      <c r="F36" s="26"/>
      <c r="H36" s="38"/>
      <c r="L36" s="22"/>
      <c r="M36" s="13"/>
      <c r="N36" s="15"/>
      <c r="O36" s="13"/>
      <c r="P36" s="15"/>
      <c r="Q36" s="13"/>
      <c r="R36" s="15"/>
      <c r="S36" s="13"/>
      <c r="T36" s="15"/>
      <c r="U36" s="13"/>
      <c r="V36" s="15"/>
      <c r="W36" s="13"/>
      <c r="X36" s="15"/>
      <c r="Y36" s="13"/>
      <c r="Z36" s="15"/>
      <c r="AA36" s="13"/>
      <c r="AB36" s="15"/>
      <c r="AC36" s="13"/>
      <c r="AD36" s="15"/>
      <c r="AE36" s="13"/>
      <c r="AF36" s="15"/>
      <c r="AG36" s="13"/>
      <c r="AH36" s="15"/>
      <c r="AI36" s="13"/>
      <c r="AJ36" s="15"/>
      <c r="AK36" s="13"/>
      <c r="AL36" s="15"/>
      <c r="AM36" s="13"/>
      <c r="AN36" s="15"/>
      <c r="AO36" s="13"/>
      <c r="AP36" s="15"/>
      <c r="AQ36" s="13"/>
      <c r="AR36" s="15"/>
      <c r="AS36" s="13"/>
      <c r="AT36" s="15"/>
      <c r="AU36" s="13"/>
      <c r="AV36" s="15"/>
      <c r="AW36" s="13"/>
      <c r="AX36" s="15"/>
      <c r="AY36" s="13"/>
      <c r="AZ36" s="15"/>
      <c r="BA36" s="13"/>
      <c r="BB36" s="15"/>
      <c r="BC36" s="13"/>
      <c r="BD36" s="15"/>
      <c r="BE36" s="13"/>
      <c r="BF36" s="15"/>
      <c r="BG36" s="13"/>
      <c r="BH36" s="15"/>
      <c r="BI36" s="13"/>
      <c r="BJ36" s="15"/>
      <c r="BK36" s="13"/>
      <c r="BL36" s="15"/>
      <c r="BM36" s="13"/>
      <c r="BN36" s="15"/>
      <c r="BO36" s="13"/>
      <c r="BP36" s="15"/>
      <c r="BQ36" s="13"/>
      <c r="BR36" s="15"/>
      <c r="BS36" s="13"/>
      <c r="BT36" s="15"/>
      <c r="BU36" s="13"/>
      <c r="BV36" s="15"/>
      <c r="BW36" s="13"/>
      <c r="BX36" s="15"/>
      <c r="BY36" s="13"/>
    </row>
    <row r="37" spans="1:77">
      <c r="A37" s="26">
        <v>36</v>
      </c>
      <c r="B37" s="27" t="s">
        <v>781</v>
      </c>
      <c r="C37" s="27" t="s">
        <v>1525</v>
      </c>
      <c r="D37" s="27">
        <f t="shared" si="1"/>
        <v>82</v>
      </c>
      <c r="E37" s="28">
        <f t="shared" ca="1" si="2"/>
        <v>0</v>
      </c>
      <c r="F37" s="26"/>
      <c r="H37" s="38"/>
      <c r="L37" s="22"/>
      <c r="M37" s="13"/>
      <c r="N37" s="15"/>
      <c r="O37" s="13"/>
      <c r="P37" s="15"/>
      <c r="Q37" s="13"/>
      <c r="R37" s="15"/>
      <c r="S37" s="13"/>
      <c r="T37" s="15"/>
      <c r="U37" s="13"/>
      <c r="V37" s="15"/>
      <c r="W37" s="13"/>
      <c r="X37" s="15"/>
      <c r="Y37" s="13"/>
      <c r="Z37" s="15"/>
      <c r="AA37" s="13"/>
      <c r="AB37" s="15"/>
      <c r="AC37" s="13"/>
      <c r="AD37" s="15"/>
      <c r="AE37" s="13"/>
      <c r="AF37" s="15"/>
      <c r="AG37" s="13"/>
      <c r="AH37" s="15"/>
      <c r="AI37" s="13"/>
      <c r="AJ37" s="15"/>
      <c r="AK37" s="13"/>
      <c r="AL37" s="15"/>
      <c r="AM37" s="13"/>
      <c r="AN37" s="15"/>
      <c r="AO37" s="13"/>
      <c r="AP37" s="15"/>
      <c r="AQ37" s="13"/>
      <c r="AR37" s="15"/>
      <c r="AS37" s="13"/>
      <c r="AT37" s="15"/>
      <c r="AU37" s="13"/>
      <c r="AV37" s="15"/>
      <c r="AW37" s="13"/>
      <c r="AX37" s="15"/>
      <c r="AY37" s="13"/>
      <c r="AZ37" s="15"/>
      <c r="BA37" s="13"/>
      <c r="BB37" s="15"/>
      <c r="BC37" s="13"/>
      <c r="BD37" s="15"/>
      <c r="BE37" s="13"/>
      <c r="BF37" s="15"/>
      <c r="BG37" s="13"/>
      <c r="BH37" s="15"/>
      <c r="BI37" s="13"/>
      <c r="BJ37" s="15"/>
      <c r="BK37" s="13"/>
      <c r="BL37" s="15"/>
      <c r="BM37" s="13"/>
      <c r="BN37" s="15"/>
      <c r="BO37" s="13"/>
      <c r="BP37" s="15"/>
      <c r="BQ37" s="13"/>
      <c r="BR37" s="15"/>
      <c r="BS37" s="13"/>
      <c r="BT37" s="15"/>
      <c r="BU37" s="13"/>
      <c r="BV37" s="15"/>
      <c r="BW37" s="13"/>
      <c r="BX37" s="15"/>
      <c r="BY37" s="13"/>
    </row>
    <row r="38" spans="1:77">
      <c r="A38" s="26">
        <v>37</v>
      </c>
      <c r="B38" s="27" t="s">
        <v>789</v>
      </c>
      <c r="C38" s="27" t="s">
        <v>1526</v>
      </c>
      <c r="D38" s="27">
        <f t="shared" si="1"/>
        <v>84</v>
      </c>
      <c r="E38" s="28">
        <f t="shared" ca="1" si="2"/>
        <v>0</v>
      </c>
      <c r="F38" s="26"/>
      <c r="H38" s="38"/>
      <c r="L38" s="22"/>
      <c r="M38" s="13"/>
      <c r="N38" s="15"/>
      <c r="O38" s="13"/>
      <c r="P38" s="15"/>
      <c r="Q38" s="13"/>
      <c r="R38" s="15"/>
      <c r="S38" s="13"/>
      <c r="T38" s="15"/>
      <c r="U38" s="13"/>
      <c r="V38" s="15"/>
      <c r="W38" s="13"/>
      <c r="X38" s="15"/>
      <c r="Y38" s="13"/>
      <c r="Z38" s="15"/>
      <c r="AA38" s="13"/>
      <c r="AB38" s="15"/>
      <c r="AC38" s="13"/>
      <c r="AD38" s="15"/>
      <c r="AE38" s="13"/>
      <c r="AF38" s="15"/>
      <c r="AG38" s="13"/>
      <c r="AH38" s="15"/>
      <c r="AI38" s="13"/>
      <c r="AJ38" s="15"/>
      <c r="AK38" s="13"/>
      <c r="AL38" s="15"/>
      <c r="AM38" s="13"/>
      <c r="AN38" s="15"/>
      <c r="AO38" s="13"/>
      <c r="AP38" s="15"/>
      <c r="AQ38" s="13"/>
      <c r="AR38" s="15"/>
      <c r="AS38" s="13"/>
      <c r="AT38" s="15"/>
      <c r="AU38" s="13"/>
      <c r="AV38" s="15"/>
      <c r="AW38" s="13"/>
      <c r="AX38" s="15"/>
      <c r="AY38" s="13"/>
      <c r="AZ38" s="15"/>
      <c r="BA38" s="13"/>
      <c r="BB38" s="15"/>
      <c r="BC38" s="13"/>
      <c r="BD38" s="15"/>
      <c r="BE38" s="13"/>
      <c r="BF38" s="15"/>
      <c r="BG38" s="13"/>
      <c r="BH38" s="15"/>
      <c r="BI38" s="13"/>
      <c r="BJ38" s="15"/>
      <c r="BK38" s="13"/>
      <c r="BL38" s="15"/>
      <c r="BM38" s="13"/>
      <c r="BN38" s="15"/>
      <c r="BO38" s="13"/>
      <c r="BP38" s="15"/>
      <c r="BQ38" s="13"/>
      <c r="BR38" s="15"/>
      <c r="BS38" s="13"/>
      <c r="BT38" s="15"/>
      <c r="BU38" s="13"/>
      <c r="BV38" s="15"/>
      <c r="BW38" s="13"/>
      <c r="BX38" s="15"/>
      <c r="BY38" s="13"/>
    </row>
    <row r="39" spans="1:77">
      <c r="A39" s="26">
        <v>38</v>
      </c>
      <c r="B39" s="27" t="s">
        <v>797</v>
      </c>
      <c r="C39" s="27" t="s">
        <v>1527</v>
      </c>
      <c r="D39" s="27">
        <f t="shared" si="1"/>
        <v>86</v>
      </c>
      <c r="E39" s="28">
        <f t="shared" ca="1" si="2"/>
        <v>0</v>
      </c>
      <c r="F39" s="26"/>
      <c r="H39" s="38"/>
      <c r="L39" s="22"/>
      <c r="M39" s="13"/>
      <c r="N39" s="15"/>
      <c r="O39" s="13"/>
      <c r="P39" s="15"/>
      <c r="Q39" s="13"/>
      <c r="R39" s="15"/>
      <c r="S39" s="13"/>
      <c r="T39" s="15"/>
      <c r="U39" s="13"/>
      <c r="V39" s="15"/>
      <c r="W39" s="13"/>
      <c r="X39" s="15"/>
      <c r="Y39" s="13"/>
      <c r="Z39" s="15"/>
      <c r="AA39" s="13"/>
      <c r="AB39" s="15"/>
      <c r="AC39" s="13"/>
      <c r="AD39" s="15"/>
      <c r="AE39" s="13"/>
      <c r="AF39" s="15"/>
      <c r="AG39" s="13"/>
      <c r="AH39" s="15"/>
      <c r="AI39" s="13"/>
      <c r="AJ39" s="15"/>
      <c r="AK39" s="13"/>
      <c r="AL39" s="15"/>
      <c r="AM39" s="13"/>
      <c r="AN39" s="15"/>
      <c r="AO39" s="13"/>
      <c r="AP39" s="15"/>
      <c r="AQ39" s="13"/>
      <c r="AR39" s="15"/>
      <c r="AS39" s="13"/>
      <c r="AT39" s="15"/>
      <c r="AU39" s="13"/>
      <c r="AV39" s="15"/>
      <c r="AW39" s="13"/>
      <c r="AX39" s="15"/>
      <c r="AY39" s="13"/>
      <c r="AZ39" s="15"/>
      <c r="BA39" s="13"/>
      <c r="BB39" s="15"/>
      <c r="BC39" s="13"/>
      <c r="BD39" s="15"/>
      <c r="BE39" s="13"/>
      <c r="BF39" s="15"/>
      <c r="BG39" s="13"/>
      <c r="BH39" s="15"/>
      <c r="BI39" s="13"/>
      <c r="BJ39" s="15"/>
      <c r="BK39" s="13"/>
      <c r="BL39" s="15"/>
      <c r="BM39" s="13"/>
      <c r="BN39" s="15"/>
      <c r="BO39" s="13"/>
      <c r="BP39" s="15"/>
      <c r="BQ39" s="13"/>
      <c r="BR39" s="15"/>
      <c r="BS39" s="13"/>
      <c r="BT39" s="15"/>
      <c r="BU39" s="13"/>
      <c r="BV39" s="15"/>
      <c r="BW39" s="13"/>
      <c r="BX39" s="15"/>
      <c r="BY39" s="13"/>
    </row>
    <row r="40" spans="1:77">
      <c r="A40" s="26">
        <v>39</v>
      </c>
      <c r="B40" s="27" t="s">
        <v>835</v>
      </c>
      <c r="C40" s="27" t="s">
        <v>1533</v>
      </c>
      <c r="D40" s="27">
        <f t="shared" si="1"/>
        <v>88</v>
      </c>
      <c r="E40" s="28">
        <f t="shared" ca="1" si="2"/>
        <v>0</v>
      </c>
      <c r="F40" s="26"/>
      <c r="H40" s="38"/>
      <c r="L40" s="22"/>
      <c r="M40" s="13"/>
      <c r="N40" s="15"/>
      <c r="O40" s="13"/>
      <c r="P40" s="15"/>
      <c r="Q40" s="13"/>
      <c r="R40" s="15"/>
      <c r="S40" s="13"/>
      <c r="T40" s="15"/>
      <c r="U40" s="13"/>
      <c r="V40" s="15"/>
      <c r="W40" s="13"/>
      <c r="X40" s="15"/>
      <c r="Y40" s="13"/>
      <c r="Z40" s="15"/>
      <c r="AA40" s="13"/>
      <c r="AB40" s="15"/>
      <c r="AC40" s="13"/>
      <c r="AD40" s="15"/>
      <c r="AE40" s="13"/>
      <c r="AF40" s="15"/>
      <c r="AG40" s="13"/>
      <c r="AH40" s="15"/>
      <c r="AI40" s="13"/>
      <c r="AJ40" s="15"/>
      <c r="AK40" s="13"/>
      <c r="AL40" s="15"/>
      <c r="AM40" s="13"/>
      <c r="AN40" s="15"/>
      <c r="AO40" s="13"/>
      <c r="AP40" s="15"/>
      <c r="AQ40" s="13"/>
      <c r="AR40" s="15"/>
      <c r="AS40" s="13"/>
      <c r="AT40" s="15"/>
      <c r="AU40" s="13"/>
      <c r="AV40" s="15"/>
      <c r="AW40" s="13"/>
      <c r="AX40" s="15"/>
      <c r="AY40" s="13"/>
      <c r="AZ40" s="15"/>
      <c r="BA40" s="13"/>
      <c r="BB40" s="15"/>
      <c r="BC40" s="13"/>
      <c r="BD40" s="15"/>
      <c r="BE40" s="13"/>
      <c r="BF40" s="15"/>
      <c r="BG40" s="13"/>
      <c r="BH40" s="15"/>
      <c r="BI40" s="13"/>
      <c r="BJ40" s="15"/>
      <c r="BK40" s="13"/>
      <c r="BL40" s="15"/>
      <c r="BM40" s="13"/>
      <c r="BN40" s="15"/>
      <c r="BO40" s="13"/>
      <c r="BP40" s="15"/>
      <c r="BQ40" s="13"/>
      <c r="BR40" s="15"/>
      <c r="BS40" s="13"/>
      <c r="BT40" s="15"/>
      <c r="BU40" s="13"/>
      <c r="BV40" s="15"/>
      <c r="BW40" s="13"/>
      <c r="BX40" s="15"/>
      <c r="BY40" s="13"/>
    </row>
    <row r="41" spans="1:77">
      <c r="A41" s="26">
        <v>40</v>
      </c>
      <c r="B41" s="27" t="s">
        <v>842</v>
      </c>
      <c r="C41" s="27" t="s">
        <v>1534</v>
      </c>
      <c r="D41" s="27">
        <f t="shared" si="1"/>
        <v>90</v>
      </c>
      <c r="E41" s="28">
        <f t="shared" ca="1" si="2"/>
        <v>0</v>
      </c>
      <c r="F41" s="26"/>
      <c r="H41" s="38"/>
      <c r="L41" s="22"/>
      <c r="M41" s="13"/>
      <c r="N41" s="15"/>
      <c r="O41" s="13"/>
      <c r="P41" s="15"/>
      <c r="Q41" s="13"/>
      <c r="R41" s="15"/>
      <c r="S41" s="13"/>
      <c r="T41" s="15"/>
      <c r="U41" s="13"/>
      <c r="V41" s="15"/>
      <c r="W41" s="13"/>
      <c r="X41" s="15"/>
      <c r="Y41" s="13"/>
      <c r="Z41" s="15"/>
      <c r="AA41" s="13"/>
      <c r="AB41" s="15"/>
      <c r="AC41" s="13"/>
      <c r="AD41" s="15"/>
      <c r="AE41" s="13"/>
      <c r="AF41" s="15"/>
      <c r="AG41" s="13"/>
      <c r="AH41" s="15"/>
      <c r="AI41" s="13"/>
      <c r="AJ41" s="15"/>
      <c r="AK41" s="13"/>
      <c r="AL41" s="15"/>
      <c r="AM41" s="13"/>
      <c r="AN41" s="15"/>
      <c r="AO41" s="13"/>
      <c r="AP41" s="15"/>
      <c r="AQ41" s="13"/>
      <c r="AR41" s="15"/>
      <c r="AS41" s="13"/>
      <c r="AT41" s="15"/>
      <c r="AU41" s="13"/>
      <c r="AV41" s="15"/>
      <c r="AW41" s="13"/>
      <c r="AX41" s="15"/>
      <c r="AY41" s="13"/>
      <c r="AZ41" s="15"/>
      <c r="BA41" s="13"/>
      <c r="BB41" s="15"/>
      <c r="BC41" s="13"/>
      <c r="BD41" s="15"/>
      <c r="BE41" s="13"/>
      <c r="BF41" s="15"/>
      <c r="BG41" s="13"/>
      <c r="BH41" s="15"/>
      <c r="BI41" s="13"/>
      <c r="BJ41" s="15"/>
      <c r="BK41" s="13"/>
      <c r="BL41" s="15"/>
      <c r="BM41" s="13"/>
      <c r="BN41" s="15"/>
      <c r="BO41" s="13"/>
      <c r="BP41" s="15"/>
      <c r="BQ41" s="13"/>
      <c r="BR41" s="15"/>
      <c r="BS41" s="13"/>
      <c r="BT41" s="15"/>
      <c r="BU41" s="13"/>
      <c r="BV41" s="15"/>
      <c r="BW41" s="13"/>
      <c r="BX41" s="15"/>
      <c r="BY41" s="13"/>
    </row>
    <row r="42" spans="1:77">
      <c r="A42" s="26">
        <v>41</v>
      </c>
      <c r="B42" s="27" t="s">
        <v>863</v>
      </c>
      <c r="C42" s="27" t="s">
        <v>1538</v>
      </c>
      <c r="D42" s="27">
        <f t="shared" si="1"/>
        <v>92</v>
      </c>
      <c r="E42" s="28">
        <f t="shared" ca="1" si="2"/>
        <v>0</v>
      </c>
      <c r="F42" s="26"/>
      <c r="H42" s="38"/>
      <c r="L42" s="22"/>
      <c r="M42" s="13"/>
      <c r="N42" s="15"/>
      <c r="O42" s="13"/>
      <c r="P42" s="15"/>
      <c r="Q42" s="13"/>
      <c r="R42" s="15"/>
      <c r="S42" s="13"/>
      <c r="T42" s="15"/>
      <c r="U42" s="13"/>
      <c r="V42" s="15"/>
      <c r="W42" s="13"/>
      <c r="X42" s="15"/>
      <c r="Y42" s="13"/>
      <c r="Z42" s="15"/>
      <c r="AA42" s="13"/>
      <c r="AB42" s="15"/>
      <c r="AC42" s="13"/>
      <c r="AD42" s="15"/>
      <c r="AE42" s="13"/>
      <c r="AF42" s="15"/>
      <c r="AG42" s="13"/>
      <c r="AH42" s="15"/>
      <c r="AI42" s="13"/>
      <c r="AJ42" s="15"/>
      <c r="AK42" s="13"/>
      <c r="AL42" s="15"/>
      <c r="AM42" s="13"/>
      <c r="AN42" s="15"/>
      <c r="AO42" s="13"/>
      <c r="AP42" s="15"/>
      <c r="AQ42" s="13"/>
      <c r="AR42" s="15"/>
      <c r="AS42" s="13"/>
      <c r="AT42" s="15"/>
      <c r="AU42" s="13"/>
      <c r="AV42" s="15"/>
      <c r="AW42" s="13"/>
      <c r="AX42" s="15"/>
      <c r="AY42" s="13"/>
      <c r="AZ42" s="15"/>
      <c r="BA42" s="13"/>
      <c r="BB42" s="15"/>
      <c r="BC42" s="13"/>
      <c r="BD42" s="15"/>
      <c r="BE42" s="13"/>
      <c r="BF42" s="15"/>
      <c r="BG42" s="13"/>
      <c r="BH42" s="15"/>
      <c r="BI42" s="13"/>
      <c r="BJ42" s="15"/>
      <c r="BK42" s="13"/>
      <c r="BL42" s="15"/>
      <c r="BM42" s="13"/>
      <c r="BN42" s="15"/>
      <c r="BO42" s="13"/>
      <c r="BP42" s="15"/>
      <c r="BQ42" s="13"/>
      <c r="BR42" s="15"/>
      <c r="BS42" s="13"/>
      <c r="BT42" s="15"/>
      <c r="BU42" s="13"/>
      <c r="BV42" s="15"/>
      <c r="BW42" s="13"/>
      <c r="BX42" s="15"/>
      <c r="BY42" s="13"/>
    </row>
    <row r="43" spans="1:77">
      <c r="A43" s="26">
        <v>42</v>
      </c>
      <c r="B43" s="27" t="s">
        <v>884</v>
      </c>
      <c r="C43" s="27" t="s">
        <v>1543</v>
      </c>
      <c r="D43" s="27">
        <f t="shared" si="1"/>
        <v>94</v>
      </c>
      <c r="E43" s="28">
        <f t="shared" ca="1" si="2"/>
        <v>0</v>
      </c>
      <c r="F43" s="26"/>
      <c r="H43" s="38"/>
      <c r="L43" s="22"/>
      <c r="M43" s="13"/>
      <c r="N43" s="15"/>
      <c r="O43" s="13"/>
      <c r="P43" s="15"/>
      <c r="Q43" s="13"/>
      <c r="R43" s="15"/>
      <c r="S43" s="13"/>
      <c r="T43" s="15"/>
      <c r="U43" s="13"/>
      <c r="V43" s="15"/>
      <c r="W43" s="13"/>
      <c r="X43" s="15"/>
      <c r="Y43" s="13"/>
      <c r="Z43" s="15"/>
      <c r="AA43" s="13"/>
      <c r="AB43" s="15"/>
      <c r="AC43" s="13"/>
      <c r="AD43" s="15"/>
      <c r="AE43" s="13"/>
      <c r="AF43" s="15"/>
      <c r="AG43" s="13"/>
      <c r="AH43" s="15"/>
      <c r="AI43" s="13"/>
      <c r="AJ43" s="15"/>
      <c r="AK43" s="13"/>
      <c r="AL43" s="15"/>
      <c r="AM43" s="13"/>
      <c r="AN43" s="15"/>
      <c r="AO43" s="13"/>
      <c r="AP43" s="15"/>
      <c r="AQ43" s="13"/>
      <c r="AR43" s="15"/>
      <c r="AS43" s="13"/>
      <c r="AT43" s="15"/>
      <c r="AU43" s="13"/>
      <c r="AV43" s="15"/>
      <c r="AW43" s="13"/>
      <c r="AX43" s="15"/>
      <c r="AY43" s="13"/>
      <c r="AZ43" s="15"/>
      <c r="BA43" s="13"/>
      <c r="BB43" s="15"/>
      <c r="BC43" s="13"/>
      <c r="BD43" s="15"/>
      <c r="BE43" s="13"/>
      <c r="BF43" s="15"/>
      <c r="BG43" s="13"/>
      <c r="BH43" s="15"/>
      <c r="BI43" s="13"/>
      <c r="BJ43" s="15"/>
      <c r="BK43" s="13"/>
      <c r="BL43" s="15"/>
      <c r="BM43" s="13"/>
      <c r="BN43" s="15"/>
      <c r="BO43" s="13"/>
      <c r="BP43" s="15"/>
      <c r="BQ43" s="13"/>
      <c r="BR43" s="15"/>
      <c r="BS43" s="13"/>
      <c r="BT43" s="15"/>
      <c r="BU43" s="13"/>
      <c r="BV43" s="15"/>
      <c r="BW43" s="13"/>
      <c r="BX43" s="15"/>
      <c r="BY43" s="13"/>
    </row>
    <row r="44" spans="1:77">
      <c r="A44" s="26">
        <v>43</v>
      </c>
      <c r="B44" s="27" t="s">
        <v>890</v>
      </c>
      <c r="C44" s="27" t="s">
        <v>1544</v>
      </c>
      <c r="D44" s="27">
        <f t="shared" si="1"/>
        <v>96</v>
      </c>
      <c r="E44" s="28">
        <f t="shared" ca="1" si="2"/>
        <v>0</v>
      </c>
      <c r="F44" s="26"/>
      <c r="H44" s="38"/>
      <c r="L44" s="22"/>
      <c r="M44" s="13"/>
      <c r="N44" s="15"/>
      <c r="O44" s="13"/>
      <c r="P44" s="15"/>
      <c r="Q44" s="13"/>
      <c r="R44" s="15"/>
      <c r="S44" s="13"/>
      <c r="T44" s="15"/>
      <c r="U44" s="13"/>
      <c r="V44" s="15"/>
      <c r="W44" s="13"/>
      <c r="X44" s="15"/>
      <c r="Y44" s="13"/>
      <c r="Z44" s="15"/>
      <c r="AA44" s="13"/>
      <c r="AB44" s="15"/>
      <c r="AC44" s="13"/>
      <c r="AD44" s="15"/>
      <c r="AE44" s="13"/>
      <c r="AF44" s="15"/>
      <c r="AG44" s="13"/>
      <c r="AH44" s="15"/>
      <c r="AI44" s="13"/>
      <c r="AJ44" s="15"/>
      <c r="AK44" s="13"/>
      <c r="AL44" s="15"/>
      <c r="AM44" s="13"/>
      <c r="AN44" s="15"/>
      <c r="AO44" s="13"/>
      <c r="AP44" s="15"/>
      <c r="AQ44" s="13"/>
      <c r="AR44" s="15"/>
      <c r="AS44" s="13"/>
      <c r="AT44" s="15"/>
      <c r="AU44" s="13"/>
      <c r="AV44" s="15"/>
      <c r="AW44" s="13"/>
      <c r="AX44" s="15"/>
      <c r="AY44" s="13"/>
      <c r="AZ44" s="15"/>
      <c r="BA44" s="13"/>
      <c r="BB44" s="15"/>
      <c r="BC44" s="13"/>
      <c r="BD44" s="15"/>
      <c r="BE44" s="13"/>
      <c r="BF44" s="15"/>
      <c r="BG44" s="13"/>
      <c r="BH44" s="15"/>
      <c r="BI44" s="13"/>
      <c r="BJ44" s="15"/>
      <c r="BK44" s="13"/>
      <c r="BL44" s="15"/>
      <c r="BM44" s="13"/>
      <c r="BN44" s="15"/>
      <c r="BO44" s="13"/>
      <c r="BP44" s="15"/>
      <c r="BQ44" s="13"/>
      <c r="BR44" s="15"/>
      <c r="BS44" s="13"/>
      <c r="BT44" s="15"/>
      <c r="BU44" s="13"/>
      <c r="BV44" s="15"/>
      <c r="BW44" s="13"/>
      <c r="BX44" s="15"/>
      <c r="BY44" s="13"/>
    </row>
    <row r="45" spans="1:77">
      <c r="A45" s="26">
        <v>44</v>
      </c>
      <c r="B45" s="27" t="s">
        <v>895</v>
      </c>
      <c r="C45" s="27" t="s">
        <v>1545</v>
      </c>
      <c r="D45" s="27">
        <f t="shared" si="1"/>
        <v>98</v>
      </c>
      <c r="E45" s="28">
        <f t="shared" ca="1" si="2"/>
        <v>0</v>
      </c>
      <c r="F45" s="26"/>
      <c r="H45" s="38"/>
      <c r="L45" s="22"/>
      <c r="M45" s="13"/>
      <c r="N45" s="15"/>
      <c r="O45" s="13"/>
      <c r="P45" s="15"/>
      <c r="Q45" s="13"/>
      <c r="R45" s="15"/>
      <c r="S45" s="13"/>
      <c r="T45" s="15"/>
      <c r="U45" s="13"/>
      <c r="V45" s="15"/>
      <c r="W45" s="13"/>
      <c r="X45" s="15"/>
      <c r="Y45" s="13"/>
      <c r="Z45" s="15"/>
      <c r="AA45" s="13"/>
      <c r="AB45" s="15"/>
      <c r="AC45" s="13"/>
      <c r="AD45" s="15"/>
      <c r="AE45" s="13"/>
      <c r="AF45" s="15"/>
      <c r="AG45" s="13"/>
      <c r="AH45" s="15"/>
      <c r="AI45" s="13"/>
      <c r="AJ45" s="15"/>
      <c r="AK45" s="13"/>
      <c r="AL45" s="15"/>
      <c r="AM45" s="13"/>
      <c r="AN45" s="15"/>
      <c r="AO45" s="13"/>
      <c r="AP45" s="15"/>
      <c r="AQ45" s="13"/>
      <c r="AR45" s="15"/>
      <c r="AS45" s="13"/>
      <c r="AT45" s="15"/>
      <c r="AU45" s="13"/>
      <c r="AV45" s="15"/>
      <c r="AW45" s="13"/>
      <c r="AX45" s="15"/>
      <c r="AY45" s="13"/>
      <c r="AZ45" s="15"/>
      <c r="BA45" s="13"/>
      <c r="BB45" s="15"/>
      <c r="BC45" s="13"/>
      <c r="BD45" s="15"/>
      <c r="BE45" s="13"/>
      <c r="BF45" s="15"/>
      <c r="BG45" s="13"/>
      <c r="BH45" s="15"/>
      <c r="BI45" s="13"/>
      <c r="BJ45" s="15"/>
      <c r="BK45" s="13"/>
      <c r="BL45" s="15"/>
      <c r="BM45" s="13"/>
      <c r="BN45" s="15"/>
      <c r="BO45" s="13"/>
      <c r="BP45" s="15"/>
      <c r="BQ45" s="13"/>
      <c r="BR45" s="15"/>
      <c r="BS45" s="13"/>
      <c r="BT45" s="15"/>
      <c r="BU45" s="13"/>
      <c r="BV45" s="15"/>
      <c r="BW45" s="13"/>
      <c r="BX45" s="15"/>
      <c r="BY45" s="13"/>
    </row>
    <row r="46" spans="1:77">
      <c r="A46" s="26">
        <v>45</v>
      </c>
      <c r="B46" s="27" t="s">
        <v>900</v>
      </c>
      <c r="C46" s="27" t="s">
        <v>1546</v>
      </c>
      <c r="D46" s="27">
        <f t="shared" si="1"/>
        <v>100</v>
      </c>
      <c r="E46" s="28">
        <f t="shared" ca="1" si="2"/>
        <v>0</v>
      </c>
      <c r="F46" s="26"/>
      <c r="H46" s="38"/>
      <c r="L46" s="22"/>
      <c r="M46" s="13"/>
      <c r="N46" s="15"/>
      <c r="O46" s="13"/>
      <c r="P46" s="15"/>
      <c r="Q46" s="13"/>
      <c r="R46" s="15"/>
      <c r="S46" s="13"/>
      <c r="T46" s="15"/>
      <c r="U46" s="13"/>
      <c r="V46" s="15"/>
      <c r="W46" s="13"/>
      <c r="X46" s="15"/>
      <c r="Y46" s="13"/>
      <c r="Z46" s="15"/>
      <c r="AA46" s="13"/>
      <c r="AB46" s="15"/>
      <c r="AC46" s="13"/>
      <c r="AD46" s="15"/>
      <c r="AE46" s="13"/>
      <c r="AF46" s="15"/>
      <c r="AG46" s="13"/>
      <c r="AH46" s="15"/>
      <c r="AI46" s="13"/>
      <c r="AJ46" s="15"/>
      <c r="AK46" s="13"/>
      <c r="AL46" s="15"/>
      <c r="AM46" s="13"/>
      <c r="AN46" s="15"/>
      <c r="AO46" s="13"/>
      <c r="AP46" s="15"/>
      <c r="AQ46" s="13"/>
      <c r="AR46" s="15"/>
      <c r="AS46" s="13"/>
      <c r="AT46" s="15"/>
      <c r="AU46" s="13"/>
      <c r="AV46" s="15"/>
      <c r="AW46" s="13"/>
      <c r="AX46" s="15"/>
      <c r="AY46" s="13"/>
      <c r="AZ46" s="15"/>
      <c r="BA46" s="13"/>
      <c r="BB46" s="15"/>
      <c r="BC46" s="13"/>
      <c r="BD46" s="15"/>
      <c r="BE46" s="13"/>
      <c r="BF46" s="15"/>
      <c r="BG46" s="13"/>
      <c r="BH46" s="15"/>
      <c r="BI46" s="13"/>
      <c r="BJ46" s="15"/>
      <c r="BK46" s="13"/>
      <c r="BL46" s="15"/>
      <c r="BM46" s="13"/>
      <c r="BN46" s="15"/>
      <c r="BO46" s="13"/>
      <c r="BP46" s="15"/>
      <c r="BQ46" s="13"/>
      <c r="BR46" s="15"/>
      <c r="BS46" s="13"/>
      <c r="BT46" s="15"/>
      <c r="BU46" s="13"/>
      <c r="BV46" s="15"/>
      <c r="BW46" s="13"/>
      <c r="BX46" s="15"/>
      <c r="BY46" s="13"/>
    </row>
    <row r="47" spans="1:77">
      <c r="A47" s="26">
        <v>46</v>
      </c>
      <c r="B47" s="27" t="s">
        <v>936</v>
      </c>
      <c r="C47" s="27" t="s">
        <v>1553</v>
      </c>
      <c r="D47" s="27">
        <f t="shared" si="1"/>
        <v>102</v>
      </c>
      <c r="E47" s="28">
        <f t="shared" ca="1" si="2"/>
        <v>0</v>
      </c>
      <c r="F47" s="26"/>
      <c r="H47" s="38"/>
    </row>
    <row r="48" spans="1:77">
      <c r="A48" s="26">
        <v>47</v>
      </c>
      <c r="B48" s="27" t="s">
        <v>942</v>
      </c>
      <c r="C48" s="27" t="s">
        <v>1554</v>
      </c>
      <c r="D48" s="27">
        <f t="shared" si="1"/>
        <v>104</v>
      </c>
      <c r="E48" s="28">
        <f t="shared" ca="1" si="2"/>
        <v>0</v>
      </c>
      <c r="F48" s="26"/>
      <c r="H48" s="38"/>
    </row>
    <row r="49" spans="1:8">
      <c r="A49" s="26">
        <v>48</v>
      </c>
      <c r="B49" s="27" t="s">
        <v>948</v>
      </c>
      <c r="C49" s="27" t="s">
        <v>1555</v>
      </c>
      <c r="D49" s="27">
        <f t="shared" si="1"/>
        <v>106</v>
      </c>
      <c r="E49" s="28">
        <f t="shared" ca="1" si="2"/>
        <v>0</v>
      </c>
      <c r="F49" s="26"/>
      <c r="H49" s="38"/>
    </row>
    <row r="50" spans="1:8">
      <c r="A50" s="26">
        <v>49</v>
      </c>
      <c r="B50" s="27" t="s">
        <v>990</v>
      </c>
      <c r="C50" s="27" t="s">
        <v>1563</v>
      </c>
      <c r="D50" s="27">
        <f t="shared" si="1"/>
        <v>108</v>
      </c>
      <c r="E50" s="28">
        <f t="shared" ca="1" si="2"/>
        <v>0</v>
      </c>
      <c r="F50" s="26"/>
      <c r="H50" s="38"/>
    </row>
    <row r="51" spans="1:8">
      <c r="A51" s="26">
        <v>50</v>
      </c>
      <c r="B51" s="27" t="s">
        <v>996</v>
      </c>
      <c r="C51" s="27" t="s">
        <v>1564</v>
      </c>
      <c r="D51" s="27">
        <f t="shared" si="1"/>
        <v>110</v>
      </c>
      <c r="E51" s="28">
        <f t="shared" ca="1" si="2"/>
        <v>0</v>
      </c>
      <c r="F51" s="26"/>
      <c r="H51" s="38"/>
    </row>
    <row r="52" spans="1:8">
      <c r="A52" s="26">
        <v>51</v>
      </c>
      <c r="B52" s="27" t="s">
        <v>1002</v>
      </c>
      <c r="C52" s="27" t="s">
        <v>1565</v>
      </c>
      <c r="D52" s="27">
        <f t="shared" si="1"/>
        <v>112</v>
      </c>
      <c r="E52" s="28">
        <f t="shared" ca="1" si="2"/>
        <v>0</v>
      </c>
      <c r="F52" s="26"/>
      <c r="H52" s="38"/>
    </row>
    <row r="53" spans="1:8">
      <c r="A53" s="26">
        <v>52</v>
      </c>
      <c r="B53" s="27" t="s">
        <v>1029</v>
      </c>
      <c r="C53" s="27" t="s">
        <v>1570</v>
      </c>
      <c r="D53" s="27">
        <f t="shared" si="1"/>
        <v>114</v>
      </c>
      <c r="E53" s="28">
        <f t="shared" ca="1" si="2"/>
        <v>0</v>
      </c>
      <c r="F53" s="26"/>
      <c r="H53" s="38"/>
    </row>
    <row r="54" spans="1:8">
      <c r="A54" s="26">
        <v>53</v>
      </c>
      <c r="B54" s="27" t="s">
        <v>1045</v>
      </c>
      <c r="C54" s="27" t="s">
        <v>1573</v>
      </c>
      <c r="D54" s="27">
        <f t="shared" si="1"/>
        <v>116</v>
      </c>
      <c r="E54" s="28">
        <f t="shared" ca="1" si="2"/>
        <v>0</v>
      </c>
      <c r="F54" s="26"/>
      <c r="H54" s="38"/>
    </row>
    <row r="55" spans="1:8">
      <c r="A55" s="26">
        <v>54</v>
      </c>
      <c r="B55" s="27" t="s">
        <v>1045</v>
      </c>
      <c r="C55" s="27" t="s">
        <v>1574</v>
      </c>
      <c r="D55" s="27">
        <f t="shared" si="1"/>
        <v>118</v>
      </c>
      <c r="E55" s="28">
        <f t="shared" ca="1" si="2"/>
        <v>0</v>
      </c>
      <c r="F55" s="26"/>
      <c r="H55" s="38"/>
    </row>
    <row r="56" spans="1:8">
      <c r="A56" s="26">
        <v>55</v>
      </c>
      <c r="B56" s="27" t="s">
        <v>1054</v>
      </c>
      <c r="C56" s="27" t="s">
        <v>1575</v>
      </c>
      <c r="D56" s="27">
        <f t="shared" si="1"/>
        <v>120</v>
      </c>
      <c r="E56" s="28">
        <f t="shared" ca="1" si="2"/>
        <v>0</v>
      </c>
      <c r="F56" s="26"/>
      <c r="H56" s="38"/>
    </row>
    <row r="57" spans="1:8">
      <c r="A57" s="26">
        <v>56</v>
      </c>
      <c r="B57" s="27" t="s">
        <v>1061</v>
      </c>
      <c r="C57" s="27" t="s">
        <v>1576</v>
      </c>
      <c r="D57" s="27">
        <f t="shared" si="1"/>
        <v>122</v>
      </c>
      <c r="E57" s="28">
        <f t="shared" ca="1" si="2"/>
        <v>0</v>
      </c>
      <c r="F57" s="26"/>
      <c r="H57" s="38"/>
    </row>
    <row r="58" spans="1:8">
      <c r="A58" s="26">
        <v>57</v>
      </c>
      <c r="B58" s="27" t="s">
        <v>1091</v>
      </c>
      <c r="C58" s="27" t="s">
        <v>1583</v>
      </c>
      <c r="D58" s="27">
        <f t="shared" si="1"/>
        <v>124</v>
      </c>
      <c r="E58" s="28">
        <f t="shared" ca="1" si="2"/>
        <v>0</v>
      </c>
      <c r="F58" s="26"/>
      <c r="H58" s="38"/>
    </row>
    <row r="59" spans="1:8">
      <c r="A59" s="26">
        <v>58</v>
      </c>
      <c r="B59" s="27" t="s">
        <v>1096</v>
      </c>
      <c r="C59" s="27" t="s">
        <v>1584</v>
      </c>
      <c r="D59" s="27">
        <f t="shared" si="1"/>
        <v>126</v>
      </c>
      <c r="E59" s="28">
        <f t="shared" ca="1" si="2"/>
        <v>0</v>
      </c>
      <c r="F59" s="26"/>
      <c r="H59" s="38"/>
    </row>
    <row r="60" spans="1:8">
      <c r="A60" s="26">
        <v>59</v>
      </c>
      <c r="B60" s="27" t="s">
        <v>1101</v>
      </c>
      <c r="C60" s="27" t="s">
        <v>1585</v>
      </c>
      <c r="D60" s="27">
        <f t="shared" si="1"/>
        <v>128</v>
      </c>
      <c r="E60" s="28">
        <f t="shared" ca="1" si="2"/>
        <v>0</v>
      </c>
      <c r="F60" s="26"/>
      <c r="H60" s="38"/>
    </row>
    <row r="61" spans="1:8">
      <c r="A61" s="26">
        <v>60</v>
      </c>
      <c r="B61" s="27" t="s">
        <v>1106</v>
      </c>
      <c r="C61" s="27" t="s">
        <v>1586</v>
      </c>
      <c r="D61" s="27">
        <f t="shared" si="1"/>
        <v>130</v>
      </c>
      <c r="E61" s="28">
        <f t="shared" ca="1" si="2"/>
        <v>0</v>
      </c>
      <c r="F61" s="26"/>
      <c r="H61" s="38"/>
    </row>
    <row r="62" spans="1:8">
      <c r="H62" s="38"/>
    </row>
    <row r="63" spans="1:8">
      <c r="H63" s="38"/>
    </row>
    <row r="64" spans="1:8">
      <c r="H64" s="38"/>
    </row>
    <row r="65" spans="8:8">
      <c r="H65" s="38"/>
    </row>
    <row r="66" spans="8:8">
      <c r="H66" s="38"/>
    </row>
    <row r="67" spans="8:8">
      <c r="H67" s="38"/>
    </row>
    <row r="68" spans="8:8">
      <c r="H68" s="38"/>
    </row>
    <row r="69" spans="8:8">
      <c r="H69" s="38"/>
    </row>
    <row r="70" spans="8:8">
      <c r="H70" s="38"/>
    </row>
    <row r="71" spans="8:8">
      <c r="H71" s="38"/>
    </row>
    <row r="72" spans="8:8">
      <c r="H72" s="38"/>
    </row>
    <row r="73" spans="8:8">
      <c r="H73" s="38"/>
    </row>
    <row r="74" spans="8:8">
      <c r="H74" s="38"/>
    </row>
    <row r="75" spans="8:8">
      <c r="H75" s="38"/>
    </row>
    <row r="76" spans="8:8">
      <c r="H76" s="38"/>
    </row>
    <row r="77" spans="8:8">
      <c r="H77" s="38"/>
    </row>
    <row r="78" spans="8:8">
      <c r="H78" s="38"/>
    </row>
    <row r="79" spans="8:8">
      <c r="H79" s="38"/>
    </row>
    <row r="80" spans="8:8">
      <c r="H80" s="38"/>
    </row>
    <row r="81" spans="8:8">
      <c r="H81" s="38"/>
    </row>
    <row r="82" spans="8:8">
      <c r="H82" s="38"/>
    </row>
    <row r="83" spans="8:8">
      <c r="H83" s="38"/>
    </row>
    <row r="84" spans="8:8">
      <c r="H84" s="38"/>
    </row>
    <row r="85" spans="8:8">
      <c r="H85" s="38"/>
    </row>
    <row r="86" spans="8:8">
      <c r="H86" s="38"/>
    </row>
    <row r="87" spans="8:8">
      <c r="H87" s="38"/>
    </row>
    <row r="88" spans="8:8">
      <c r="H88" s="38"/>
    </row>
    <row r="89" spans="8:8">
      <c r="H89" s="38"/>
    </row>
    <row r="90" spans="8:8">
      <c r="H90" s="38"/>
    </row>
    <row r="91" spans="8:8">
      <c r="H91" s="38"/>
    </row>
    <row r="92" spans="8:8">
      <c r="H92" s="38"/>
    </row>
    <row r="93" spans="8:8">
      <c r="H93" s="38"/>
    </row>
    <row r="94" spans="8:8">
      <c r="H94" s="38"/>
    </row>
    <row r="95" spans="8:8">
      <c r="H95" s="38"/>
    </row>
    <row r="96" spans="8:8">
      <c r="H96" s="38"/>
    </row>
    <row r="97" spans="8:8">
      <c r="H97" s="38"/>
    </row>
    <row r="98" spans="8:8">
      <c r="H98" s="38"/>
    </row>
    <row r="99" spans="8:8">
      <c r="H99" s="38"/>
    </row>
    <row r="100" spans="8:8">
      <c r="H100" s="38"/>
    </row>
    <row r="101" spans="8:8">
      <c r="H101" s="38"/>
    </row>
    <row r="102" spans="8:8">
      <c r="H102" s="38"/>
    </row>
    <row r="103" spans="8:8">
      <c r="H103" s="38"/>
    </row>
    <row r="104" spans="8:8">
      <c r="H104" s="38"/>
    </row>
    <row r="105" spans="8:8">
      <c r="H105" s="38"/>
    </row>
    <row r="106" spans="8:8">
      <c r="H106" s="38"/>
    </row>
    <row r="107" spans="8:8">
      <c r="H107" s="38"/>
    </row>
    <row r="108" spans="8:8">
      <c r="H108" s="38"/>
    </row>
    <row r="109" spans="8:8">
      <c r="H109" s="38"/>
    </row>
    <row r="110" spans="8:8">
      <c r="H110" s="38"/>
    </row>
    <row r="111" spans="8:8">
      <c r="H111" s="38"/>
    </row>
    <row r="112" spans="8:8">
      <c r="H112" s="38"/>
    </row>
    <row r="113" spans="8:8">
      <c r="H113" s="38"/>
    </row>
    <row r="114" spans="8:8">
      <c r="H114" s="38"/>
    </row>
    <row r="115" spans="8:8">
      <c r="H115" s="38"/>
    </row>
    <row r="116" spans="8:8">
      <c r="H116" s="38"/>
    </row>
    <row r="117" spans="8:8">
      <c r="H117" s="38"/>
    </row>
    <row r="118" spans="8:8">
      <c r="H118" s="38"/>
    </row>
    <row r="119" spans="8:8">
      <c r="H119" s="38"/>
    </row>
    <row r="120" spans="8:8">
      <c r="H120" s="38"/>
    </row>
    <row r="121" spans="8:8">
      <c r="H121" s="38"/>
    </row>
    <row r="122" spans="8:8">
      <c r="H122" s="38"/>
    </row>
    <row r="123" spans="8:8">
      <c r="H123" s="38"/>
    </row>
    <row r="124" spans="8:8">
      <c r="H124" s="38"/>
    </row>
    <row r="125" spans="8:8">
      <c r="H125" s="38"/>
    </row>
    <row r="126" spans="8:8">
      <c r="H126" s="38"/>
    </row>
    <row r="127" spans="8:8">
      <c r="H127" s="38"/>
    </row>
    <row r="128" spans="8:8">
      <c r="H128" s="38"/>
    </row>
    <row r="129" spans="8:8">
      <c r="H129" s="38"/>
    </row>
    <row r="130" spans="8:8">
      <c r="H130" s="38"/>
    </row>
    <row r="131" spans="8:8">
      <c r="H131" s="38"/>
    </row>
    <row r="132" spans="8:8">
      <c r="H132" s="38"/>
    </row>
    <row r="133" spans="8:8">
      <c r="H133" s="38"/>
    </row>
    <row r="134" spans="8:8">
      <c r="H134" s="38"/>
    </row>
    <row r="135" spans="8:8">
      <c r="H135" s="38"/>
    </row>
    <row r="136" spans="8:8">
      <c r="H136" s="38"/>
    </row>
    <row r="137" spans="8:8">
      <c r="H137" s="38"/>
    </row>
    <row r="138" spans="8:8">
      <c r="H138" s="38"/>
    </row>
    <row r="139" spans="8:8">
      <c r="H139" s="38"/>
    </row>
    <row r="140" spans="8:8">
      <c r="H140" s="38"/>
    </row>
    <row r="141" spans="8:8">
      <c r="H141" s="38"/>
    </row>
    <row r="142" spans="8:8">
      <c r="H142" s="38"/>
    </row>
    <row r="143" spans="8:8">
      <c r="H143" s="38"/>
    </row>
    <row r="144" spans="8:8">
      <c r="H144" s="38"/>
    </row>
    <row r="145" spans="8:8">
      <c r="H145" s="38"/>
    </row>
    <row r="146" spans="8:8">
      <c r="H146" s="38"/>
    </row>
    <row r="147" spans="8:8">
      <c r="H147" s="38"/>
    </row>
    <row r="148" spans="8:8">
      <c r="H148" s="38"/>
    </row>
    <row r="149" spans="8:8">
      <c r="H149" s="38"/>
    </row>
    <row r="150" spans="8:8">
      <c r="H150" s="38"/>
    </row>
    <row r="151" spans="8:8">
      <c r="H151" s="38"/>
    </row>
    <row r="152" spans="8:8">
      <c r="H152" s="38"/>
    </row>
    <row r="153" spans="8:8">
      <c r="H153" s="38"/>
    </row>
    <row r="154" spans="8:8">
      <c r="H154" s="38"/>
    </row>
    <row r="155" spans="8:8">
      <c r="H155" s="38"/>
    </row>
    <row r="156" spans="8:8">
      <c r="H156" s="38"/>
    </row>
    <row r="157" spans="8:8">
      <c r="H157" s="38"/>
    </row>
    <row r="158" spans="8:8">
      <c r="H158" s="38"/>
    </row>
    <row r="159" spans="8:8">
      <c r="H159" s="38"/>
    </row>
    <row r="160" spans="8:8">
      <c r="H160" s="38"/>
    </row>
    <row r="161" spans="8:8">
      <c r="H161" s="38"/>
    </row>
    <row r="162" spans="8:8">
      <c r="H162" s="38"/>
    </row>
    <row r="163" spans="8:8">
      <c r="H163" s="38"/>
    </row>
    <row r="164" spans="8:8">
      <c r="H164" s="38"/>
    </row>
    <row r="165" spans="8:8">
      <c r="H165" s="38"/>
    </row>
    <row r="166" spans="8:8">
      <c r="H166" s="38"/>
    </row>
    <row r="167" spans="8:8">
      <c r="H167" s="38"/>
    </row>
    <row r="168" spans="8:8">
      <c r="H168" s="38"/>
    </row>
    <row r="169" spans="8:8">
      <c r="H169" s="38"/>
    </row>
    <row r="170" spans="8:8">
      <c r="H170" s="38"/>
    </row>
    <row r="171" spans="8:8">
      <c r="H171" s="38"/>
    </row>
    <row r="172" spans="8:8">
      <c r="H172" s="38"/>
    </row>
    <row r="173" spans="8:8">
      <c r="H173" s="38"/>
    </row>
    <row r="174" spans="8:8">
      <c r="H174" s="38"/>
    </row>
    <row r="175" spans="8:8">
      <c r="H175" s="38"/>
    </row>
    <row r="176" spans="8:8">
      <c r="H176" s="38"/>
    </row>
    <row r="177" spans="8:8">
      <c r="H177" s="38"/>
    </row>
    <row r="178" spans="8:8">
      <c r="H178" s="38"/>
    </row>
    <row r="179" spans="8:8">
      <c r="H179" s="38"/>
    </row>
    <row r="180" spans="8:8">
      <c r="H180" s="38"/>
    </row>
    <row r="181" spans="8:8">
      <c r="H181" s="38"/>
    </row>
    <row r="182" spans="8:8">
      <c r="H182" s="38"/>
    </row>
    <row r="183" spans="8:8">
      <c r="H183" s="38"/>
    </row>
    <row r="184" spans="8:8">
      <c r="H184" s="38"/>
    </row>
    <row r="185" spans="8:8">
      <c r="H185" s="38"/>
    </row>
    <row r="186" spans="8:8">
      <c r="H186" s="38"/>
    </row>
    <row r="187" spans="8:8">
      <c r="H187" s="38"/>
    </row>
    <row r="188" spans="8:8">
      <c r="H188" s="38"/>
    </row>
    <row r="189" spans="8:8">
      <c r="H189" s="38"/>
    </row>
    <row r="190" spans="8:8">
      <c r="H190" s="38"/>
    </row>
    <row r="191" spans="8:8">
      <c r="H191" s="38"/>
    </row>
    <row r="192" spans="8:8">
      <c r="H192" s="38"/>
    </row>
    <row r="193" spans="8:8">
      <c r="H193" s="38"/>
    </row>
    <row r="194" spans="8:8">
      <c r="H194" s="38"/>
    </row>
    <row r="195" spans="8:8">
      <c r="H195" s="38"/>
    </row>
    <row r="196" spans="8:8">
      <c r="H196" s="38"/>
    </row>
    <row r="197" spans="8:8">
      <c r="H197" s="38"/>
    </row>
    <row r="198" spans="8:8">
      <c r="H198" s="38"/>
    </row>
    <row r="199" spans="8:8">
      <c r="H199" s="38"/>
    </row>
    <row r="200" spans="8:8">
      <c r="H200" s="38"/>
    </row>
  </sheetData>
  <sortState xmlns:xlrd2="http://schemas.microsoft.com/office/spreadsheetml/2017/richdata2" ref="C5:C63">
    <sortCondition ref="C5:C63"/>
  </sortState>
  <phoneticPr fontId="1"/>
  <conditionalFormatting sqref="E2:E61">
    <cfRule type="cellIs" dxfId="140" priority="2" operator="greaterThan">
      <formula>0</formula>
    </cfRule>
  </conditionalFormatting>
  <conditionalFormatting sqref="F2:F61">
    <cfRule type="cellIs" dxfId="139" priority="1" operator="equal">
      <formula>1</formula>
    </cfRule>
  </conditionalFormatting>
  <dataValidations count="1">
    <dataValidation type="list" allowBlank="1" showInputMessage="1" showErrorMessage="1" sqref="I2:K56 F2:G17 G18:G56 F18:F61" xr:uid="{24CFC851-9112-4FEE-9D43-8009495132B8}">
      <formula1>"1"</formula1>
    </dataValidation>
  </dataValidations>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7171" r:id="rId3" name="Button 3">
              <controlPr defaultSize="0" print="0" autoFill="0" autoPict="0" macro="[0]!getFileDownloadList1">
                <anchor moveWithCells="1" sizeWithCells="1">
                  <from>
                    <xdr:col>7</xdr:col>
                    <xdr:colOff>714375</xdr:colOff>
                    <xdr:row>3</xdr:row>
                    <xdr:rowOff>219075</xdr:rowOff>
                  </from>
                  <to>
                    <xdr:col>7</xdr:col>
                    <xdr:colOff>3105150</xdr:colOff>
                    <xdr:row>6</xdr:row>
                    <xdr:rowOff>9525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9D07897-E8A2-422E-AA06-650479A7A992}">
  <sheetPr codeName="Sheet5">
    <tabColor rgb="FFFFFF00"/>
  </sheetPr>
  <dimension ref="B1:AL312"/>
  <sheetViews>
    <sheetView tabSelected="1" zoomScale="85" zoomScaleNormal="85" workbookViewId="0">
      <pane xSplit="4" ySplit="2" topLeftCell="E3" activePane="bottomRight" state="frozen"/>
      <selection pane="topRight" activeCell="E1" sqref="E1"/>
      <selection pane="bottomLeft" activeCell="A3" sqref="A3"/>
      <selection pane="bottomRight" activeCell="S35" sqref="S35"/>
    </sheetView>
  </sheetViews>
  <sheetFormatPr defaultColWidth="9" defaultRowHeight="16.5"/>
  <cols>
    <col min="1" max="1" width="2.875" style="41" customWidth="1"/>
    <col min="2" max="2" width="46.5" style="42" customWidth="1"/>
    <col min="3" max="3" width="2.875" style="61" customWidth="1"/>
    <col min="4" max="4" width="1" style="60" customWidth="1"/>
    <col min="5" max="5" width="4.125" style="51" customWidth="1"/>
    <col min="6" max="6" width="21.25" style="41" customWidth="1"/>
    <col min="7" max="7" width="15.125" style="41" hidden="1" customWidth="1"/>
    <col min="8" max="8" width="8.625" style="42" hidden="1" customWidth="1"/>
    <col min="9" max="10" width="8.625" style="42" customWidth="1"/>
    <col min="11" max="11" width="2.875" style="41" customWidth="1"/>
    <col min="12" max="12" width="4.125" style="51" customWidth="1"/>
    <col min="13" max="13" width="21.25" style="41" customWidth="1"/>
    <col min="14" max="14" width="15.125" style="41" hidden="1" customWidth="1"/>
    <col min="15" max="15" width="8.625" style="42" hidden="1" customWidth="1"/>
    <col min="16" max="17" width="8.625" style="42" customWidth="1"/>
    <col min="18" max="18" width="2.875" style="41" customWidth="1"/>
    <col min="19" max="19" width="4.125" style="51" customWidth="1"/>
    <col min="20" max="20" width="21.25" style="41" customWidth="1"/>
    <col min="21" max="21" width="15.125" style="41" hidden="1" customWidth="1"/>
    <col min="22" max="22" width="8.625" style="42" hidden="1" customWidth="1"/>
    <col min="23" max="24" width="8.625" style="42" customWidth="1"/>
    <col min="25" max="25" width="2.875" style="41" customWidth="1"/>
    <col min="26" max="26" width="4.125" style="51" customWidth="1"/>
    <col min="27" max="27" width="21.25" style="41" customWidth="1"/>
    <col min="28" max="28" width="15.125" style="41" hidden="1" customWidth="1"/>
    <col min="29" max="29" width="8.625" style="42" hidden="1" customWidth="1"/>
    <col min="30" max="31" width="8.625" style="42" customWidth="1"/>
    <col min="32" max="32" width="2.875" style="41" customWidth="1"/>
    <col min="33" max="33" width="4.125" style="51" customWidth="1"/>
    <col min="34" max="34" width="21.25" style="41" customWidth="1"/>
    <col min="35" max="35" width="15.125" style="41" hidden="1" customWidth="1"/>
    <col min="36" max="36" width="8.625" style="42" hidden="1" customWidth="1"/>
    <col min="37" max="38" width="8.625" style="42" customWidth="1"/>
    <col min="39" max="16384" width="9" style="41"/>
  </cols>
  <sheetData>
    <row r="1" spans="2:38" ht="23.25" customHeight="1">
      <c r="B1" s="562" t="s">
        <v>2836</v>
      </c>
      <c r="E1" s="51">
        <v>100</v>
      </c>
      <c r="L1" s="51">
        <v>200</v>
      </c>
      <c r="S1" s="51">
        <v>300</v>
      </c>
      <c r="Z1" s="51">
        <v>400</v>
      </c>
      <c r="AG1" s="51">
        <v>500</v>
      </c>
    </row>
    <row r="2" spans="2:38" ht="23.25" customHeight="1">
      <c r="B2" s="563"/>
      <c r="E2" s="43" t="s">
        <v>2634</v>
      </c>
      <c r="F2" s="44" t="s">
        <v>1686</v>
      </c>
      <c r="G2" s="44"/>
      <c r="H2" s="44" t="s">
        <v>2833</v>
      </c>
      <c r="I2" s="44" t="s">
        <v>2633</v>
      </c>
      <c r="J2" s="44" t="s">
        <v>1689</v>
      </c>
      <c r="L2" s="43" t="s">
        <v>2634</v>
      </c>
      <c r="M2" s="44" t="s">
        <v>1686</v>
      </c>
      <c r="N2" s="44"/>
      <c r="O2" s="44" t="s">
        <v>2833</v>
      </c>
      <c r="P2" s="44" t="s">
        <v>2633</v>
      </c>
      <c r="Q2" s="44" t="s">
        <v>1689</v>
      </c>
      <c r="S2" s="43" t="s">
        <v>2634</v>
      </c>
      <c r="T2" s="44" t="s">
        <v>1686</v>
      </c>
      <c r="U2" s="44"/>
      <c r="V2" s="44" t="s">
        <v>2833</v>
      </c>
      <c r="W2" s="44" t="s">
        <v>2633</v>
      </c>
      <c r="X2" s="44" t="s">
        <v>1689</v>
      </c>
      <c r="Z2" s="43" t="s">
        <v>2634</v>
      </c>
      <c r="AA2" s="44" t="s">
        <v>1686</v>
      </c>
      <c r="AB2" s="44"/>
      <c r="AC2" s="44" t="s">
        <v>2833</v>
      </c>
      <c r="AD2" s="44" t="s">
        <v>2633</v>
      </c>
      <c r="AE2" s="44" t="s">
        <v>1689</v>
      </c>
      <c r="AG2" s="43" t="s">
        <v>2634</v>
      </c>
      <c r="AH2" s="44" t="s">
        <v>1686</v>
      </c>
      <c r="AI2" s="44"/>
      <c r="AJ2" s="44" t="s">
        <v>2833</v>
      </c>
      <c r="AK2" s="44" t="s">
        <v>2633</v>
      </c>
      <c r="AL2" s="44" t="s">
        <v>1689</v>
      </c>
    </row>
    <row r="3" spans="2:38">
      <c r="B3" s="30" t="s">
        <v>2635</v>
      </c>
      <c r="E3" s="52" t="str">
        <f>IF(G3&lt;&gt;"",COUNTA(G$2:G3)+E$1,"")</f>
        <v/>
      </c>
      <c r="F3" s="45" t="s">
        <v>2646</v>
      </c>
      <c r="G3" s="45"/>
      <c r="H3" s="46" t="str">
        <f>IF(G3&lt;&gt;"",MATCH(G3,お客様データリスト!$A$2:$MV$2,0),"")</f>
        <v/>
      </c>
      <c r="I3" s="55">
        <f>IF(G3&lt;&gt;"",VLOOKUP(G3,お客様データリスト!$C:$E,3,0),0)</f>
        <v>0</v>
      </c>
      <c r="J3" s="46"/>
      <c r="L3" s="52" t="str">
        <f>IF(N3&lt;&gt;"",COUNTA(N$2:N3)+L$1,"")</f>
        <v/>
      </c>
      <c r="M3" s="45" t="s">
        <v>2662</v>
      </c>
      <c r="N3" s="45"/>
      <c r="O3" s="46" t="str">
        <f>IF(N3&lt;&gt;"",MATCH(N3,お客様データリスト!$A$2:$MV$2,0),"")</f>
        <v/>
      </c>
      <c r="P3" s="55">
        <f>IF(N3&lt;&gt;"",VLOOKUP(N3,お客様データリスト!$C:$E,3,0),0)</f>
        <v>0</v>
      </c>
      <c r="Q3" s="46"/>
      <c r="S3" s="52" t="str">
        <f>IF(U3&lt;&gt;"",COUNTA(U$2:U3)+S$1,"")</f>
        <v/>
      </c>
      <c r="T3" s="45" t="s">
        <v>2706</v>
      </c>
      <c r="U3" s="45"/>
      <c r="V3" s="46" t="str">
        <f>IF(U3&lt;&gt;"",MATCH(U3,お客様データリスト!$A$2:$MV$2,0),"")</f>
        <v/>
      </c>
      <c r="W3" s="55">
        <f>IF(U3&lt;&gt;"",VLOOKUP(U3,お客様データリスト!$C:$E,3,0),0)</f>
        <v>0</v>
      </c>
      <c r="X3" s="46"/>
      <c r="Z3" s="52" t="str">
        <f>IF(AB3&lt;&gt;"",COUNTA(AB$2:AB3)+Z$1,"")</f>
        <v/>
      </c>
      <c r="AA3" s="45" t="s">
        <v>2738</v>
      </c>
      <c r="AB3" s="45"/>
      <c r="AC3" s="46" t="str">
        <f>IF(AB3&lt;&gt;"",MATCH(AB3,お客様データリスト!$A$2:$MV$2,0),"")</f>
        <v/>
      </c>
      <c r="AD3" s="55">
        <f>IF(AB3&lt;&gt;"",VLOOKUP(AB3,お客様データリスト!$C:$E,3,0),0)</f>
        <v>0</v>
      </c>
      <c r="AE3" s="46"/>
      <c r="AG3" s="52" t="str">
        <f>IF(AI3&lt;&gt;"",COUNTA(AI$2:AI3)+AG$1,"")</f>
        <v/>
      </c>
      <c r="AH3" s="45" t="s">
        <v>2779</v>
      </c>
      <c r="AI3" s="45"/>
      <c r="AJ3" s="46" t="str">
        <f>IF(AI3&lt;&gt;"",MATCH(AI3,お客様データリスト!$A$2:$MV$2,0),"")</f>
        <v/>
      </c>
      <c r="AK3" s="55">
        <f>IF(AI3&lt;&gt;"",VLOOKUP(AI3,お客様データリスト!$C:$E,3,0),0)</f>
        <v>0</v>
      </c>
      <c r="AL3" s="46"/>
    </row>
    <row r="4" spans="2:38">
      <c r="B4" s="31" t="str">
        <f>レコード名</f>
        <v>05A3BRONT■田中 勝也</v>
      </c>
      <c r="E4" s="53" t="str">
        <f>IF(G4&lt;&gt;"",COUNTA(G$2:G4)+E$1,"")</f>
        <v/>
      </c>
      <c r="F4" s="47" t="s">
        <v>2647</v>
      </c>
      <c r="G4" s="47"/>
      <c r="H4" s="48" t="str">
        <f>IF(G4&lt;&gt;"",MATCH(G4,お客様データリスト!$A$2:$MV$2,0),"")</f>
        <v/>
      </c>
      <c r="I4" s="56">
        <f>IF(G4&lt;&gt;"",VLOOKUP(G4,お客様データリスト!$C:$E,3,0),0)</f>
        <v>0</v>
      </c>
      <c r="J4" s="48"/>
      <c r="L4" s="53" t="str">
        <f>IF(N4&lt;&gt;"",COUNTA(N$2:N4)+L$1,"")</f>
        <v/>
      </c>
      <c r="M4" s="47" t="s">
        <v>2663</v>
      </c>
      <c r="N4" s="47"/>
      <c r="O4" s="48" t="str">
        <f>IF(N4&lt;&gt;"",MATCH(N4,お客様データリスト!$A$2:$MV$2,0),"")</f>
        <v/>
      </c>
      <c r="P4" s="56">
        <f>IF(N4&lt;&gt;"",VLOOKUP(N4,お客様データリスト!$C:$E,3,0),0)</f>
        <v>0</v>
      </c>
      <c r="Q4" s="48"/>
      <c r="S4" s="53" t="str">
        <f>IF(U4&lt;&gt;"",COUNTA(U$2:U4)+S$1,"")</f>
        <v/>
      </c>
      <c r="T4" s="47" t="s">
        <v>2707</v>
      </c>
      <c r="U4" s="47"/>
      <c r="V4" s="48" t="str">
        <f>IF(U4&lt;&gt;"",MATCH(U4,お客様データリスト!$A$2:$MV$2,0),"")</f>
        <v/>
      </c>
      <c r="W4" s="56">
        <f>IF(U4&lt;&gt;"",VLOOKUP(U4,お客様データリスト!$C:$E,3,0),0)</f>
        <v>0</v>
      </c>
      <c r="X4" s="48"/>
      <c r="Z4" s="53" t="str">
        <f>IF(AB4&lt;&gt;"",COUNTA(AB$2:AB4)+Z$1,"")</f>
        <v/>
      </c>
      <c r="AA4" s="47" t="s">
        <v>2739</v>
      </c>
      <c r="AB4" s="47"/>
      <c r="AC4" s="48" t="str">
        <f>IF(AB4&lt;&gt;"",MATCH(AB4,お客様データリスト!$A$2:$MV$2,0),"")</f>
        <v/>
      </c>
      <c r="AD4" s="56">
        <f>IF(AB4&lt;&gt;"",VLOOKUP(AB4,お客様データリスト!$C:$E,3,0),0)</f>
        <v>0</v>
      </c>
      <c r="AE4" s="48"/>
      <c r="AG4" s="53" t="str">
        <f>IF(AI4&lt;&gt;"",COUNTA(AI$2:AI4)+AG$1,"")</f>
        <v/>
      </c>
      <c r="AH4" s="47" t="s">
        <v>2780</v>
      </c>
      <c r="AI4" s="47"/>
      <c r="AJ4" s="48" t="str">
        <f>IF(AI4&lt;&gt;"",MATCH(AI4,お客様データリスト!$A$2:$MV$2,0),"")</f>
        <v/>
      </c>
      <c r="AK4" s="56">
        <f>IF(AI4&lt;&gt;"",VLOOKUP(AI4,お客様データリスト!$C:$E,3,0),0)</f>
        <v>0</v>
      </c>
      <c r="AL4" s="48"/>
    </row>
    <row r="5" spans="2:38">
      <c r="E5" s="54">
        <f>IF(G5&lt;&gt;"",COUNTA(G$2:G5)+E$1,"")</f>
        <v>101</v>
      </c>
      <c r="F5" s="49" t="s">
        <v>2640</v>
      </c>
      <c r="G5" s="49" t="s">
        <v>1463</v>
      </c>
      <c r="H5" s="50">
        <f>IF(G5&lt;&gt;"",MATCH(G5,お客様データリスト!$A$2:$MV$2,0),"")</f>
        <v>12</v>
      </c>
      <c r="I5" s="57">
        <f ca="1">IF(G5&lt;&gt;"",VLOOKUP(G5,お客様データリスト!$C:$E,3,0),0)</f>
        <v>0</v>
      </c>
      <c r="J5" s="50"/>
      <c r="L5" s="54">
        <f>IF(N5&lt;&gt;"",COUNTA(N$2:N5)+L$1,"")</f>
        <v>201</v>
      </c>
      <c r="M5" s="49" t="s">
        <v>2663</v>
      </c>
      <c r="N5" s="49" t="s">
        <v>1486</v>
      </c>
      <c r="O5" s="50">
        <f>IF(N5&lt;&gt;"",MATCH(N5,お客様データリスト!$A$2:$MV$2,0),"")</f>
        <v>44</v>
      </c>
      <c r="P5" s="57">
        <f ca="1">IF(N5&lt;&gt;"",VLOOKUP(N5,お客様データリスト!$C:$E,3,0),0)</f>
        <v>10</v>
      </c>
      <c r="Q5" s="50"/>
      <c r="S5" s="54">
        <f>IF(U5&lt;&gt;"",COUNTA(U$2:U5)+S$1,"")</f>
        <v>301</v>
      </c>
      <c r="T5" s="49" t="s">
        <v>1674</v>
      </c>
      <c r="U5" s="49" t="s">
        <v>1543</v>
      </c>
      <c r="V5" s="50">
        <f>IF(U5&lt;&gt;"",MATCH(U5,お客様データリスト!$A$2:$MV$2,0),"")</f>
        <v>124</v>
      </c>
      <c r="W5" s="57">
        <f ca="1">IF(U5&lt;&gt;"",VLOOKUP(U5,お客様データリスト!$C:$E,3,0),0)</f>
        <v>1</v>
      </c>
      <c r="X5" s="50"/>
      <c r="Z5" s="54">
        <f>IF(AB5&lt;&gt;"",COUNTA(AB$2:AB5)+Z$1,"")</f>
        <v>401</v>
      </c>
      <c r="AA5" s="49" t="s">
        <v>2740</v>
      </c>
      <c r="AB5" s="49" t="s">
        <v>1590</v>
      </c>
      <c r="AC5" s="50">
        <f>IF(AB5&lt;&gt;"",MATCH(AB5,お客様データリスト!$A$2:$MV$2,0),"")</f>
        <v>196</v>
      </c>
      <c r="AD5" s="57">
        <f ca="1">IF(AB5&lt;&gt;"",VLOOKUP(AB5,お客様データリスト!$C:$E,3,0),0)</f>
        <v>1</v>
      </c>
      <c r="AE5" s="50"/>
      <c r="AG5" s="54">
        <f>IF(AI5&lt;&gt;"",COUNTA(AI$2:AI5)+AG$1,"")</f>
        <v>501</v>
      </c>
      <c r="AH5" s="49" t="s">
        <v>2781</v>
      </c>
      <c r="AI5" s="49" t="s">
        <v>1639</v>
      </c>
      <c r="AJ5" s="50">
        <f>IF(AI5&lt;&gt;"",MATCH(AI5,お客様データリスト!$A$2:$MV$2,0),"")</f>
        <v>272</v>
      </c>
      <c r="AK5" s="57">
        <f ca="1">IF(AI5&lt;&gt;"",VLOOKUP(AI5,お客様データリスト!$C:$E,3,0),0)</f>
        <v>1</v>
      </c>
      <c r="AL5" s="50"/>
    </row>
    <row r="6" spans="2:38">
      <c r="E6" s="54">
        <f>IF(G6&lt;&gt;"",COUNTA(G$2:G6)+E$1,"")</f>
        <v>102</v>
      </c>
      <c r="F6" s="49" t="s">
        <v>2641</v>
      </c>
      <c r="G6" s="49" t="s">
        <v>1464</v>
      </c>
      <c r="H6" s="50">
        <f>IF(G6&lt;&gt;"",MATCH(G6,お客様データリスト!$A$2:$MV$2,0),"")</f>
        <v>14</v>
      </c>
      <c r="I6" s="57">
        <f ca="1">IF(G6&lt;&gt;"",VLOOKUP(G6,お客様データリスト!$C:$E,3,0),0)</f>
        <v>0</v>
      </c>
      <c r="J6" s="50"/>
      <c r="L6" s="53" t="str">
        <f>IF(N6&lt;&gt;"",COUNTA(N$2:N6)+L$1,"")</f>
        <v/>
      </c>
      <c r="M6" s="47" t="s">
        <v>2664</v>
      </c>
      <c r="N6" s="47"/>
      <c r="O6" s="48" t="str">
        <f>IF(N6&lt;&gt;"",MATCH(N6,お客様データリスト!$A$2:$MV$2,0),"")</f>
        <v/>
      </c>
      <c r="P6" s="56">
        <f>IF(N6&lt;&gt;"",VLOOKUP(N6,お客様データリスト!$C:$E,3,0),0)</f>
        <v>0</v>
      </c>
      <c r="Q6" s="48"/>
      <c r="S6" s="54">
        <f>IF(U6&lt;&gt;"",COUNTA(U$2:U6)+S$1,"")</f>
        <v>302</v>
      </c>
      <c r="T6" s="49" t="s">
        <v>1675</v>
      </c>
      <c r="U6" s="49" t="s">
        <v>1544</v>
      </c>
      <c r="V6" s="50">
        <f>IF(U6&lt;&gt;"",MATCH(U6,お客様データリスト!$A$2:$MV$2,0),"")</f>
        <v>126</v>
      </c>
      <c r="W6" s="57">
        <f ca="1">IF(U6&lt;&gt;"",VLOOKUP(U6,お客様データリスト!$C:$E,3,0),0)</f>
        <v>0</v>
      </c>
      <c r="X6" s="50"/>
      <c r="Z6" s="54">
        <f>IF(AB6&lt;&gt;"",COUNTA(AB$2:AB6)+Z$1,"")</f>
        <v>402</v>
      </c>
      <c r="AA6" s="49" t="s">
        <v>2741</v>
      </c>
      <c r="AB6" s="49" t="s">
        <v>1591</v>
      </c>
      <c r="AC6" s="50">
        <f>IF(AB6&lt;&gt;"",MATCH(AB6,お客様データリスト!$A$2:$MV$2,0),"")</f>
        <v>198</v>
      </c>
      <c r="AD6" s="57">
        <f ca="1">IF(AB6&lt;&gt;"",VLOOKUP(AB6,お客様データリスト!$C:$E,3,0),0)</f>
        <v>0</v>
      </c>
      <c r="AE6" s="50"/>
      <c r="AG6" s="54">
        <f>IF(AI6&lt;&gt;"",COUNTA(AI$2:AI6)+AG$1,"")</f>
        <v>502</v>
      </c>
      <c r="AH6" s="49" t="s">
        <v>2782</v>
      </c>
      <c r="AI6" s="49" t="s">
        <v>1640</v>
      </c>
      <c r="AJ6" s="50">
        <f>IF(AI6&lt;&gt;"",MATCH(AI6,お客様データリスト!$A$2:$MV$2,0),"")</f>
        <v>274</v>
      </c>
      <c r="AK6" s="57">
        <f ca="1">IF(AI6&lt;&gt;"",VLOOKUP(AI6,お客様データリスト!$C:$E,3,0),0)</f>
        <v>0</v>
      </c>
      <c r="AL6" s="50"/>
    </row>
    <row r="7" spans="2:38">
      <c r="E7" s="54">
        <f>IF(G7&lt;&gt;"",COUNTA(G$2:G7)+E$1,"")</f>
        <v>103</v>
      </c>
      <c r="F7" s="49" t="s">
        <v>2642</v>
      </c>
      <c r="G7" s="49" t="s">
        <v>1465</v>
      </c>
      <c r="H7" s="50">
        <f>IF(G7&lt;&gt;"",MATCH(G7,お客様データリスト!$A$2:$MV$2,0),"")</f>
        <v>16</v>
      </c>
      <c r="I7" s="57">
        <f ca="1">IF(G7&lt;&gt;"",VLOOKUP(G7,お客様データリスト!$C:$E,3,0),0)</f>
        <v>0</v>
      </c>
      <c r="J7" s="50"/>
      <c r="L7" s="54">
        <f>IF(N7&lt;&gt;"",COUNTA(N$2:N7)+L$1,"")</f>
        <v>202</v>
      </c>
      <c r="M7" s="49" t="s">
        <v>2665</v>
      </c>
      <c r="N7" s="49" t="s">
        <v>1487</v>
      </c>
      <c r="O7" s="50">
        <f>IF(N7&lt;&gt;"",MATCH(N7,お客様データリスト!$A$2:$MV$2,0),"")</f>
        <v>46</v>
      </c>
      <c r="P7" s="57">
        <f ca="1">IF(N7&lt;&gt;"",VLOOKUP(N7,お客様データリスト!$C:$E,3,0),0)</f>
        <v>2</v>
      </c>
      <c r="Q7" s="50"/>
      <c r="S7" s="53" t="str">
        <f>IF(U7&lt;&gt;"",COUNTA(U$2:U7)+S$1,"")</f>
        <v/>
      </c>
      <c r="T7" s="47" t="s">
        <v>2708</v>
      </c>
      <c r="U7" s="47"/>
      <c r="V7" s="48" t="str">
        <f>IF(U7&lt;&gt;"",MATCH(U7,お客様データリスト!$A$2:$MV$2,0),"")</f>
        <v/>
      </c>
      <c r="W7" s="56">
        <f>IF(U7&lt;&gt;"",VLOOKUP(U7,お客様データリスト!$C:$E,3,0),0)</f>
        <v>0</v>
      </c>
      <c r="X7" s="48"/>
      <c r="Z7" s="54">
        <f>IF(AB7&lt;&gt;"",COUNTA(AB$2:AB7)+Z$1,"")</f>
        <v>403</v>
      </c>
      <c r="AA7" s="49" t="s">
        <v>2703</v>
      </c>
      <c r="AB7" s="49" t="s">
        <v>1592</v>
      </c>
      <c r="AC7" s="50">
        <f>IF(AB7&lt;&gt;"",MATCH(AB7,お客様データリスト!$A$2:$MV$2,0),"")</f>
        <v>200</v>
      </c>
      <c r="AD7" s="57">
        <f ca="1">IF(AB7&lt;&gt;"",VLOOKUP(AB7,お客様データリスト!$C:$E,3,0),0)</f>
        <v>4</v>
      </c>
      <c r="AE7" s="50"/>
      <c r="AG7" s="54">
        <f>IF(AI7&lt;&gt;"",COUNTA(AI$2:AI7)+AG$1,"")</f>
        <v>503</v>
      </c>
      <c r="AH7" s="49" t="s">
        <v>2783</v>
      </c>
      <c r="AI7" s="49" t="s">
        <v>1641</v>
      </c>
      <c r="AJ7" s="50">
        <f>IF(AI7&lt;&gt;"",MATCH(AI7,お客様データリスト!$A$2:$MV$2,0),"")</f>
        <v>276</v>
      </c>
      <c r="AK7" s="57">
        <f ca="1">IF(AI7&lt;&gt;"",VLOOKUP(AI7,お客様データリスト!$C:$E,3,0),0)</f>
        <v>0</v>
      </c>
      <c r="AL7" s="50"/>
    </row>
    <row r="8" spans="2:38">
      <c r="E8" s="54">
        <f>IF(G8&lt;&gt;"",COUNTA(G$2:G8)+E$1,"")</f>
        <v>104</v>
      </c>
      <c r="F8" s="49" t="s">
        <v>2643</v>
      </c>
      <c r="G8" s="49" t="s">
        <v>1466</v>
      </c>
      <c r="H8" s="50">
        <f>IF(G8&lt;&gt;"",MATCH(G8,お客様データリスト!$A$2:$MV$2,0),"")</f>
        <v>18</v>
      </c>
      <c r="I8" s="57">
        <f ca="1">IF(G8&lt;&gt;"",VLOOKUP(G8,お客様データリスト!$C:$E,3,0),0)</f>
        <v>0</v>
      </c>
      <c r="J8" s="50"/>
      <c r="L8" s="54">
        <f>IF(N8&lt;&gt;"",COUNTA(N$2:N8)+L$1,"")</f>
        <v>203</v>
      </c>
      <c r="M8" s="49" t="s">
        <v>2666</v>
      </c>
      <c r="N8" s="49" t="s">
        <v>1488</v>
      </c>
      <c r="O8" s="50">
        <f>IF(N8&lt;&gt;"",MATCH(N8,お客様データリスト!$A$2:$MV$2,0),"")</f>
        <v>48</v>
      </c>
      <c r="P8" s="57">
        <f ca="1">IF(N8&lt;&gt;"",VLOOKUP(N8,お客様データリスト!$C:$E,3,0),0)</f>
        <v>2</v>
      </c>
      <c r="Q8" s="50"/>
      <c r="S8" s="54">
        <f>IF(U8&lt;&gt;"",COUNTA(U$2:U8)+S$1,"")</f>
        <v>303</v>
      </c>
      <c r="T8" s="49" t="s">
        <v>1676</v>
      </c>
      <c r="U8" s="49" t="s">
        <v>1546</v>
      </c>
      <c r="V8" s="50">
        <f>IF(U8&lt;&gt;"",MATCH(U8,お客様データリスト!$A$2:$MV$2,0),"")</f>
        <v>128</v>
      </c>
      <c r="W8" s="57">
        <f ca="1">IF(U8&lt;&gt;"",VLOOKUP(U8,お客様データリスト!$C:$E,3,0),0)</f>
        <v>5</v>
      </c>
      <c r="X8" s="50"/>
      <c r="Z8" s="54">
        <f>IF(AB8&lt;&gt;"",COUNTA(AB$2:AB8)+Z$1,"")</f>
        <v>404</v>
      </c>
      <c r="AA8" s="49" t="s">
        <v>2742</v>
      </c>
      <c r="AB8" s="49" t="s">
        <v>1593</v>
      </c>
      <c r="AC8" s="50">
        <f>IF(AB8&lt;&gt;"",MATCH(AB8,お客様データリスト!$A$2:$MV$2,0),"")</f>
        <v>202</v>
      </c>
      <c r="AD8" s="57">
        <f ca="1">IF(AB8&lt;&gt;"",VLOOKUP(AB8,お客様データリスト!$C:$E,3,0),0)</f>
        <v>1</v>
      </c>
      <c r="AE8" s="50"/>
      <c r="AG8" s="52" t="str">
        <f>IF(AI8&lt;&gt;"",COUNTA(AI$2:AI8)+AG$1,"")</f>
        <v/>
      </c>
      <c r="AH8" s="45" t="s">
        <v>2784</v>
      </c>
      <c r="AI8" s="45"/>
      <c r="AJ8" s="46" t="str">
        <f>IF(AI8&lt;&gt;"",MATCH(AI8,お客様データリスト!$A$2:$MV$2,0),"")</f>
        <v/>
      </c>
      <c r="AK8" s="58">
        <f>IF(AI8&lt;&gt;"",VLOOKUP(AI8,お客様データリスト!$C:$E,3,0),0)</f>
        <v>0</v>
      </c>
      <c r="AL8" s="59"/>
    </row>
    <row r="9" spans="2:38">
      <c r="B9" s="30" t="s">
        <v>2638</v>
      </c>
      <c r="E9" s="54">
        <f>IF(G9&lt;&gt;"",COUNTA(G$2:G9)+E$1,"")</f>
        <v>105</v>
      </c>
      <c r="F9" s="49" t="s">
        <v>2644</v>
      </c>
      <c r="G9" s="49" t="s">
        <v>1467</v>
      </c>
      <c r="H9" s="50">
        <f>IF(G9&lt;&gt;"",MATCH(G9,お客様データリスト!$A$2:$MV$2,0),"")</f>
        <v>20</v>
      </c>
      <c r="I9" s="57">
        <f ca="1">IF(G9&lt;&gt;"",VLOOKUP(G9,お客様データリスト!$C:$E,3,0),0)</f>
        <v>1</v>
      </c>
      <c r="J9" s="50"/>
      <c r="L9" s="54">
        <f>IF(N9&lt;&gt;"",COUNTA(N$2:N9)+L$1,"")</f>
        <v>204</v>
      </c>
      <c r="M9" s="49" t="s">
        <v>2667</v>
      </c>
      <c r="N9" s="49" t="s">
        <v>1489</v>
      </c>
      <c r="O9" s="50">
        <f>IF(N9&lt;&gt;"",MATCH(N9,お客様データリスト!$A$2:$MV$2,0),"")</f>
        <v>50</v>
      </c>
      <c r="P9" s="57">
        <f ca="1">IF(N9&lt;&gt;"",VLOOKUP(N9,お客様データリスト!$C:$E,3,0),0)</f>
        <v>0</v>
      </c>
      <c r="Q9" s="50"/>
      <c r="S9" s="54">
        <f>IF(U9&lt;&gt;"",COUNTA(U$2:U9)+S$1,"")</f>
        <v>304</v>
      </c>
      <c r="T9" s="49" t="s">
        <v>1677</v>
      </c>
      <c r="U9" s="49" t="s">
        <v>1547</v>
      </c>
      <c r="V9" s="50">
        <f>IF(U9&lt;&gt;"",MATCH(U9,お客様データリスト!$A$2:$MV$2,0),"")</f>
        <v>130</v>
      </c>
      <c r="W9" s="57">
        <f ca="1">IF(U9&lt;&gt;"",VLOOKUP(U9,お客様データリスト!$C:$E,3,0),0)</f>
        <v>0</v>
      </c>
      <c r="X9" s="50"/>
      <c r="Z9" s="54">
        <f>IF(AB9&lt;&gt;"",COUNTA(AB$2:AB9)+Z$1,"")</f>
        <v>405</v>
      </c>
      <c r="AA9" s="49" t="s">
        <v>3947</v>
      </c>
      <c r="AB9" s="49" t="s">
        <v>3948</v>
      </c>
      <c r="AC9" s="50">
        <f>IF(AB9&lt;&gt;"",MATCH(AB9,お客様データリスト!$A$2:$MV$2,0),"")</f>
        <v>230</v>
      </c>
      <c r="AD9" s="57"/>
      <c r="AE9" s="50"/>
      <c r="AG9" s="53" t="str">
        <f>IF(AI9&lt;&gt;"",COUNTA(AI$2:AI9)+AG$1,"")</f>
        <v/>
      </c>
      <c r="AH9" s="47" t="s">
        <v>2785</v>
      </c>
      <c r="AI9" s="47"/>
      <c r="AJ9" s="48" t="str">
        <f>IF(AI9&lt;&gt;"",MATCH(AI9,お客様データリスト!$A$2:$MV$2,0),"")</f>
        <v/>
      </c>
      <c r="AK9" s="56">
        <f>IF(AI9&lt;&gt;"",VLOOKUP(AI9,お客様データリスト!$C:$E,3,0),0)</f>
        <v>0</v>
      </c>
      <c r="AL9" s="48"/>
    </row>
    <row r="10" spans="2:38">
      <c r="B10" s="1000" t="s">
        <v>5214</v>
      </c>
      <c r="E10" s="54">
        <f>IF(G10&lt;&gt;"",COUNTA(G$2:G10)+E$1,"")</f>
        <v>106</v>
      </c>
      <c r="F10" s="49" t="s">
        <v>2645</v>
      </c>
      <c r="G10" s="49" t="s">
        <v>1468</v>
      </c>
      <c r="H10" s="50">
        <f>IF(G10&lt;&gt;"",MATCH(G10,お客様データリスト!$A$2:$MV$2,0),"")</f>
        <v>22</v>
      </c>
      <c r="I10" s="57">
        <f ca="1">IF(G10&lt;&gt;"",VLOOKUP(G10,お客様データリスト!$C:$E,3,0),0)</f>
        <v>0</v>
      </c>
      <c r="J10" s="50"/>
      <c r="L10" s="54">
        <f>IF(N10&lt;&gt;"",COUNTA(N$2:N10)+L$1,"")</f>
        <v>205</v>
      </c>
      <c r="M10" s="49" t="s">
        <v>2640</v>
      </c>
      <c r="N10" s="49" t="s">
        <v>1490</v>
      </c>
      <c r="O10" s="50">
        <f>IF(N10&lt;&gt;"",MATCH(N10,お客様データリスト!$A$2:$MV$2,0),"")</f>
        <v>52</v>
      </c>
      <c r="P10" s="57">
        <f ca="1">IF(N10&lt;&gt;"",VLOOKUP(N10,お客様データリスト!$C:$E,3,0),0)</f>
        <v>1</v>
      </c>
      <c r="Q10" s="50"/>
      <c r="S10" s="54">
        <f>IF(U10&lt;&gt;"",COUNTA(U$2:U10)+S$1,"")</f>
        <v>305</v>
      </c>
      <c r="T10" s="49" t="s">
        <v>747</v>
      </c>
      <c r="U10" s="49" t="s">
        <v>1548</v>
      </c>
      <c r="V10" s="50">
        <f>IF(U10&lt;&gt;"",MATCH(U10,お客様データリスト!$A$2:$MV$2,0),"")</f>
        <v>132</v>
      </c>
      <c r="W10" s="57">
        <f ca="1">IF(U10&lt;&gt;"",VLOOKUP(U10,お客様データリスト!$C:$E,3,0),0)</f>
        <v>5</v>
      </c>
      <c r="X10" s="50"/>
      <c r="Z10" s="54">
        <f>IF(AB10&lt;&gt;"",COUNTA(AB$2:AB10)+Z$1,"")</f>
        <v>406</v>
      </c>
      <c r="AA10" s="49" t="s">
        <v>2743</v>
      </c>
      <c r="AB10" s="49" t="s">
        <v>1594</v>
      </c>
      <c r="AC10" s="50">
        <f>IF(AB10&lt;&gt;"",MATCH(AB10,お客様データリスト!$A$2:$MV$2,0),"")</f>
        <v>204</v>
      </c>
      <c r="AD10" s="57">
        <f ca="1">IF(AB10&lt;&gt;"",VLOOKUP(AB10,お客様データリスト!$C:$E,3,0),0)</f>
        <v>1</v>
      </c>
      <c r="AE10" s="50"/>
      <c r="AG10" s="54">
        <f>IF(AI10&lt;&gt;"",COUNTA(AI$2:AI10)+AG$1,"")</f>
        <v>504</v>
      </c>
      <c r="AH10" s="49" t="s">
        <v>2786</v>
      </c>
      <c r="AI10" s="49" t="s">
        <v>1644</v>
      </c>
      <c r="AJ10" s="50">
        <f>IF(AI10&lt;&gt;"",MATCH(AI10,お客様データリスト!$A$2:$MV$2,0),"")</f>
        <v>278</v>
      </c>
      <c r="AK10" s="57">
        <f ca="1">IF(AI10&lt;&gt;"",VLOOKUP(AI10,お客様データリスト!$C:$E,3,0),0)</f>
        <v>1</v>
      </c>
      <c r="AL10" s="50"/>
    </row>
    <row r="11" spans="2:38">
      <c r="B11" s="62" t="s">
        <v>2636</v>
      </c>
      <c r="E11" s="53" t="str">
        <f>IF(G11&lt;&gt;"",COUNTA(G$2:G11)+E$1,"")</f>
        <v/>
      </c>
      <c r="F11" s="47" t="s">
        <v>2648</v>
      </c>
      <c r="G11" s="47"/>
      <c r="H11" s="48" t="str">
        <f>IF(G11&lt;&gt;"",MATCH(G11,お客様データリスト!$A$2:$MV$2,0),"")</f>
        <v/>
      </c>
      <c r="I11" s="56">
        <f>IF(G11&lt;&gt;"",VLOOKUP(G11,お客様データリスト!$C:$E,3,0),0)</f>
        <v>0</v>
      </c>
      <c r="J11" s="48"/>
      <c r="L11" s="54">
        <f>IF(N11&lt;&gt;"",COUNTA(N$2:N11)+L$1,"")</f>
        <v>206</v>
      </c>
      <c r="M11" s="49" t="s">
        <v>2668</v>
      </c>
      <c r="N11" s="49" t="s">
        <v>1491</v>
      </c>
      <c r="O11" s="50">
        <f>IF(N11&lt;&gt;"",MATCH(N11,お客様データリスト!$A$2:$MV$2,0),"")</f>
        <v>54</v>
      </c>
      <c r="P11" s="57">
        <f ca="1">IF(N11&lt;&gt;"",VLOOKUP(N11,お客様データリスト!$C:$E,3,0),0)</f>
        <v>1</v>
      </c>
      <c r="Q11" s="50"/>
      <c r="S11" s="54">
        <f>IF(U11&lt;&gt;"",COUNTA(U$2:U11)+S$1,"")</f>
        <v>306</v>
      </c>
      <c r="T11" s="49" t="s">
        <v>752</v>
      </c>
      <c r="U11" s="49" t="s">
        <v>1549</v>
      </c>
      <c r="V11" s="50">
        <f>IF(U11&lt;&gt;"",MATCH(U11,お客様データリスト!$A$2:$MV$2,0),"")</f>
        <v>134</v>
      </c>
      <c r="W11" s="57">
        <f ca="1">IF(U11&lt;&gt;"",VLOOKUP(U11,お客様データリスト!$C:$E,3,0),0)</f>
        <v>2</v>
      </c>
      <c r="X11" s="50"/>
      <c r="Z11" s="54">
        <f>IF(AB11&lt;&gt;"",COUNTA(AB$2:AB11)+Z$1,"")</f>
        <v>407</v>
      </c>
      <c r="AA11" s="49" t="s">
        <v>2744</v>
      </c>
      <c r="AB11" s="49" t="s">
        <v>1595</v>
      </c>
      <c r="AC11" s="50">
        <f>IF(AB11&lt;&gt;"",MATCH(AB11,お客様データリスト!$A$2:$MV$2,0),"")</f>
        <v>206</v>
      </c>
      <c r="AD11" s="57">
        <f ca="1">IF(AB11&lt;&gt;"",VLOOKUP(AB11,お客様データリスト!$C:$E,3,0),0)</f>
        <v>0</v>
      </c>
      <c r="AE11" s="50"/>
      <c r="AG11" s="54">
        <f>IF(AI11&lt;&gt;"",COUNTA(AI$2:AI11)+AG$1,"")</f>
        <v>505</v>
      </c>
      <c r="AH11" s="49" t="s">
        <v>2787</v>
      </c>
      <c r="AI11" s="49" t="s">
        <v>1645</v>
      </c>
      <c r="AJ11" s="50">
        <f>IF(AI11&lt;&gt;"",MATCH(AI11,お客様データリスト!$A$2:$MV$2,0),"")</f>
        <v>280</v>
      </c>
      <c r="AK11" s="57">
        <f ca="1">IF(AI11&lt;&gt;"",VLOOKUP(AI11,お客様データリスト!$C:$E,3,0),0)</f>
        <v>1</v>
      </c>
      <c r="AL11" s="50"/>
    </row>
    <row r="12" spans="2:38">
      <c r="B12" s="30" t="s">
        <v>2637</v>
      </c>
      <c r="E12" s="54">
        <f>IF(G12&lt;&gt;"",COUNTA(G$2:G12)+E$1,"")</f>
        <v>107</v>
      </c>
      <c r="F12" s="49" t="s">
        <v>2640</v>
      </c>
      <c r="G12" s="49" t="s">
        <v>1471</v>
      </c>
      <c r="H12" s="50">
        <f>IF(G12&lt;&gt;"",MATCH(G12,お客様データリスト!$A$2:$MV$2,0),"")</f>
        <v>24</v>
      </c>
      <c r="I12" s="57">
        <f ca="1">IF(G12&lt;&gt;"",VLOOKUP(G12,お客様データリスト!$C:$E,3,0),0)</f>
        <v>0</v>
      </c>
      <c r="J12" s="50"/>
      <c r="L12" s="54">
        <f>IF(N12&lt;&gt;"",COUNTA(N$2:N12)+L$1,"")</f>
        <v>207</v>
      </c>
      <c r="M12" s="49" t="s">
        <v>2669</v>
      </c>
      <c r="N12" s="49" t="s">
        <v>1492</v>
      </c>
      <c r="O12" s="50">
        <f>IF(N12&lt;&gt;"",MATCH(N12,お客様データリスト!$A$2:$MV$2,0),"")</f>
        <v>56</v>
      </c>
      <c r="P12" s="57">
        <f ca="1">IF(N12&lt;&gt;"",VLOOKUP(N12,お客様データリスト!$C:$E,3,0),0)</f>
        <v>1</v>
      </c>
      <c r="Q12" s="50"/>
      <c r="S12" s="54">
        <f>IF(U12&lt;&gt;"",COUNTA(U$2:U12)+S$1,"")</f>
        <v>307</v>
      </c>
      <c r="T12" s="49" t="s">
        <v>3859</v>
      </c>
      <c r="U12" s="49" t="s">
        <v>3861</v>
      </c>
      <c r="V12" s="50">
        <f>IF(U12&lt;&gt;"",MATCH(U12,お客様データリスト!$A$2:$MV$2,0),"")</f>
        <v>152</v>
      </c>
      <c r="W12" s="57">
        <f ca="1">IF(U12&lt;&gt;"",VLOOKUP(U12,お客様データリスト!$C:$E,3,0),0)</f>
        <v>1</v>
      </c>
      <c r="X12" s="50"/>
      <c r="Z12" s="54">
        <f>IF(AB12&lt;&gt;"",COUNTA(AB$2:AB12)+Z$1,"")</f>
        <v>408</v>
      </c>
      <c r="AA12" s="49" t="s">
        <v>2745</v>
      </c>
      <c r="AB12" s="49" t="s">
        <v>1596</v>
      </c>
      <c r="AC12" s="50">
        <f>IF(AB12&lt;&gt;"",MATCH(AB12,お客様データリスト!$A$2:$MV$2,0),"")</f>
        <v>208</v>
      </c>
      <c r="AD12" s="57">
        <f ca="1">IF(AB12&lt;&gt;"",VLOOKUP(AB12,お客様データリスト!$C:$E,3,0),0)</f>
        <v>0</v>
      </c>
      <c r="AE12" s="50"/>
      <c r="AG12" s="54">
        <f>IF(AI12&lt;&gt;"",COUNTA(AI$2:AI12)+AG$1,"")</f>
        <v>506</v>
      </c>
      <c r="AH12" s="49" t="s">
        <v>2788</v>
      </c>
      <c r="AI12" s="49" t="s">
        <v>1646</v>
      </c>
      <c r="AJ12" s="50">
        <f>IF(AI12&lt;&gt;"",MATCH(AI12,お客様データリスト!$A$2:$MV$2,0),"")</f>
        <v>282</v>
      </c>
      <c r="AK12" s="57">
        <f ca="1">IF(AI12&lt;&gt;"",VLOOKUP(AI12,お客様データリスト!$C:$E,3,0),0)</f>
        <v>1</v>
      </c>
      <c r="AL12" s="50"/>
    </row>
    <row r="13" spans="2:38">
      <c r="B13" s="63" t="s">
        <v>5213</v>
      </c>
      <c r="E13" s="54">
        <f>IF(G13&lt;&gt;"",COUNTA(G$2:G13)+E$1,"")</f>
        <v>108</v>
      </c>
      <c r="F13" s="49" t="s">
        <v>2641</v>
      </c>
      <c r="G13" s="49" t="s">
        <v>1472</v>
      </c>
      <c r="H13" s="50">
        <f>IF(G13&lt;&gt;"",MATCH(G13,お客様データリスト!$A$2:$MV$2,0),"")</f>
        <v>26</v>
      </c>
      <c r="I13" s="57">
        <f ca="1">IF(G13&lt;&gt;"",VLOOKUP(G13,お客様データリスト!$C:$E,3,0),0)</f>
        <v>0</v>
      </c>
      <c r="J13" s="50"/>
      <c r="L13" s="54">
        <f>IF(N13&lt;&gt;"",COUNTA(N$2:N13)+L$1,"")</f>
        <v>208</v>
      </c>
      <c r="M13" s="49" t="s">
        <v>2670</v>
      </c>
      <c r="N13" s="49" t="s">
        <v>1493</v>
      </c>
      <c r="O13" s="50">
        <f>IF(N13&lt;&gt;"",MATCH(N13,お客様データリスト!$A$2:$MV$2,0),"")</f>
        <v>58</v>
      </c>
      <c r="P13" s="57">
        <f ca="1">IF(N13&lt;&gt;"",VLOOKUP(N13,お客様データリスト!$C:$E,3,0),0)</f>
        <v>0</v>
      </c>
      <c r="Q13" s="50"/>
      <c r="S13" s="54">
        <f>IF(U13&lt;&gt;"",COUNTA(U$2:U13)+S$1,"")</f>
        <v>308</v>
      </c>
      <c r="T13" s="49" t="s">
        <v>3860</v>
      </c>
      <c r="U13" s="49" t="s">
        <v>3862</v>
      </c>
      <c r="V13" s="50">
        <f>IF(U13&lt;&gt;"",MATCH(U13,お客様データリスト!$A$2:$MV$2,0),"")</f>
        <v>154</v>
      </c>
      <c r="W13" s="57">
        <f ca="1">IF(U13&lt;&gt;"",VLOOKUP(U13,お客様データリスト!$C:$E,3,0),0)</f>
        <v>1</v>
      </c>
      <c r="X13" s="50"/>
      <c r="Z13" s="54">
        <f>IF(AB13&lt;&gt;"",COUNTA(AB$2:AB13)+Z$1,"")</f>
        <v>409</v>
      </c>
      <c r="AA13" s="49" t="s">
        <v>2746</v>
      </c>
      <c r="AB13" s="49" t="s">
        <v>1597</v>
      </c>
      <c r="AC13" s="50">
        <f>IF(AB13&lt;&gt;"",MATCH(AB13,お客様データリスト!$A$2:$MV$2,0),"")</f>
        <v>210</v>
      </c>
      <c r="AD13" s="57">
        <f ca="1">IF(AB13&lt;&gt;"",VLOOKUP(AB13,お客様データリスト!$C:$E,3,0),0)</f>
        <v>0</v>
      </c>
      <c r="AE13" s="50"/>
      <c r="AG13" s="54">
        <f>IF(AI13&lt;&gt;"",COUNTA(AI$2:AI13)+AG$1,"")</f>
        <v>507</v>
      </c>
      <c r="AH13" s="49" t="s">
        <v>2789</v>
      </c>
      <c r="AI13" s="49" t="s">
        <v>1647</v>
      </c>
      <c r="AJ13" s="50">
        <f>IF(AI13&lt;&gt;"",MATCH(AI13,お客様データリスト!$A$2:$MV$2,0),"")</f>
        <v>284</v>
      </c>
      <c r="AK13" s="57">
        <f ca="1">IF(AI13&lt;&gt;"",VLOOKUP(AI13,お客様データリスト!$C:$E,3,0),0)</f>
        <v>0</v>
      </c>
      <c r="AL13" s="50"/>
    </row>
    <row r="14" spans="2:38">
      <c r="B14" s="1000" t="s">
        <v>5215</v>
      </c>
      <c r="E14" s="54">
        <f>IF(G14&lt;&gt;"",COUNTA(G$2:G14)+E$1,"")</f>
        <v>109</v>
      </c>
      <c r="F14" s="49" t="s">
        <v>2642</v>
      </c>
      <c r="G14" s="49" t="s">
        <v>1473</v>
      </c>
      <c r="H14" s="50">
        <f>IF(G14&lt;&gt;"",MATCH(G14,お客様データリスト!$A$2:$MV$2,0),"")</f>
        <v>28</v>
      </c>
      <c r="I14" s="57">
        <f ca="1">IF(G14&lt;&gt;"",VLOOKUP(G14,お客様データリスト!$C:$E,3,0),0)</f>
        <v>0</v>
      </c>
      <c r="J14" s="50"/>
      <c r="L14" s="54">
        <f>IF(N14&lt;&gt;"",COUNTA(N$2:N14)+L$1,"")</f>
        <v>209</v>
      </c>
      <c r="M14" s="49" t="s">
        <v>2671</v>
      </c>
      <c r="N14" s="49" t="s">
        <v>1494</v>
      </c>
      <c r="O14" s="50">
        <f>IF(N14&lt;&gt;"",MATCH(N14,お客様データリスト!$A$2:$MV$2,0),"")</f>
        <v>60</v>
      </c>
      <c r="P14" s="57">
        <f ca="1">IF(N14&lt;&gt;"",VLOOKUP(N14,お客様データリスト!$C:$E,3,0),0)</f>
        <v>1</v>
      </c>
      <c r="Q14" s="50"/>
      <c r="S14" s="54">
        <f>IF(U14&lt;&gt;"",COUNTA(U$2:U14)+S$1,"")</f>
        <v>309</v>
      </c>
      <c r="T14" s="49" t="s">
        <v>757</v>
      </c>
      <c r="U14" s="49" t="s">
        <v>1550</v>
      </c>
      <c r="V14" s="50">
        <f>IF(U14&lt;&gt;"",MATCH(U14,お客様データリスト!$A$2:$MV$2,0),"")</f>
        <v>136</v>
      </c>
      <c r="W14" s="57">
        <f ca="1">IF(U14&lt;&gt;"",VLOOKUP(U14,お客様データリスト!$C:$E,3,0),0)</f>
        <v>0</v>
      </c>
      <c r="X14" s="50"/>
      <c r="Z14" s="53" t="str">
        <f>IF(AB14&lt;&gt;"",COUNTA(AB$2:AB14)+Z$1,"")</f>
        <v/>
      </c>
      <c r="AA14" s="47" t="s">
        <v>2747</v>
      </c>
      <c r="AB14" s="47"/>
      <c r="AC14" s="48" t="str">
        <f>IF(AB14&lt;&gt;"",MATCH(AB14,お客様データリスト!$A$2:$MV$2,0),"")</f>
        <v/>
      </c>
      <c r="AD14" s="56">
        <f>IF(AB14&lt;&gt;"",VLOOKUP(AB14,お客様データリスト!$C:$E,3,0),0)</f>
        <v>0</v>
      </c>
      <c r="AE14" s="48"/>
      <c r="AG14" s="54">
        <f>IF(AI14&lt;&gt;"",COUNTA(AI$2:AI14)+AG$1,"")</f>
        <v>508</v>
      </c>
      <c r="AH14" s="49" t="s">
        <v>2790</v>
      </c>
      <c r="AI14" s="49" t="s">
        <v>1648</v>
      </c>
      <c r="AJ14" s="50">
        <f>IF(AI14&lt;&gt;"",MATCH(AI14,お客様データリスト!$A$2:$MV$2,0),"")</f>
        <v>286</v>
      </c>
      <c r="AK14" s="57">
        <f ca="1">IF(AI14&lt;&gt;"",VLOOKUP(AI14,お客様データリスト!$C:$E,3,0),0)</f>
        <v>0</v>
      </c>
      <c r="AL14" s="50"/>
    </row>
    <row r="15" spans="2:38">
      <c r="B15" s="1000" t="s">
        <v>5216</v>
      </c>
      <c r="E15" s="54">
        <f>IF(G15&lt;&gt;"",COUNTA(G$2:G15)+E$1,"")</f>
        <v>110</v>
      </c>
      <c r="F15" s="49" t="s">
        <v>2643</v>
      </c>
      <c r="G15" s="49" t="s">
        <v>1474</v>
      </c>
      <c r="H15" s="50">
        <f>IF(G15&lt;&gt;"",MATCH(G15,お客様データリスト!$A$2:$MV$2,0),"")</f>
        <v>30</v>
      </c>
      <c r="I15" s="57">
        <f ca="1">IF(G15&lt;&gt;"",VLOOKUP(G15,お客様データリスト!$C:$E,3,0),0)</f>
        <v>0</v>
      </c>
      <c r="J15" s="50"/>
      <c r="L15" s="53" t="str">
        <f>IF(N15&lt;&gt;"",COUNTA(N$2:N15)+L$1,"")</f>
        <v/>
      </c>
      <c r="M15" s="47" t="s">
        <v>2672</v>
      </c>
      <c r="N15" s="47"/>
      <c r="O15" s="48" t="str">
        <f>IF(N15&lt;&gt;"",MATCH(N15,お客様データリスト!$A$2:$MV$2,0),"")</f>
        <v/>
      </c>
      <c r="P15" s="56">
        <f>IF(N15&lt;&gt;"",VLOOKUP(N15,お客様データリスト!$C:$E,3,0),0)</f>
        <v>0</v>
      </c>
      <c r="Q15" s="48"/>
      <c r="S15" s="54">
        <f>IF(U15&lt;&gt;"",COUNTA(U$2:U15)+S$1,"")</f>
        <v>310</v>
      </c>
      <c r="T15" s="49" t="s">
        <v>765</v>
      </c>
      <c r="U15" s="49" t="s">
        <v>1551</v>
      </c>
      <c r="V15" s="50">
        <f>IF(U15&lt;&gt;"",MATCH(U15,お客様データリスト!$A$2:$MV$2,0),"")</f>
        <v>138</v>
      </c>
      <c r="W15" s="57">
        <f ca="1">IF(U15&lt;&gt;"",VLOOKUP(U15,お客様データリスト!$C:$E,3,0),0)</f>
        <v>0</v>
      </c>
      <c r="X15" s="50"/>
      <c r="Z15" s="54">
        <f>IF(AB15&lt;&gt;"",COUNTA(AB$2:AB15)+Z$1,"")</f>
        <v>410</v>
      </c>
      <c r="AA15" s="49" t="s">
        <v>2748</v>
      </c>
      <c r="AB15" s="49" t="s">
        <v>1599</v>
      </c>
      <c r="AC15" s="50">
        <f>IF(AB15&lt;&gt;"",MATCH(AB15,お客様データリスト!$A$2:$MV$2,0),"")</f>
        <v>212</v>
      </c>
      <c r="AD15" s="57">
        <f ca="1">IF(AB15&lt;&gt;"",VLOOKUP(AB15,お客様データリスト!$C:$E,3,0),0)</f>
        <v>2</v>
      </c>
      <c r="AE15" s="50"/>
      <c r="AG15" s="54">
        <f>IF(AI15&lt;&gt;"",COUNTA(AI$2:AI15)+AG$1,"")</f>
        <v>509</v>
      </c>
      <c r="AH15" s="49" t="s">
        <v>2791</v>
      </c>
      <c r="AI15" s="49" t="s">
        <v>1649</v>
      </c>
      <c r="AJ15" s="50">
        <f>IF(AI15&lt;&gt;"",MATCH(AI15,お客様データリスト!$A$2:$MV$2,0),"")</f>
        <v>288</v>
      </c>
      <c r="AK15" s="57">
        <f ca="1">IF(AI15&lt;&gt;"",VLOOKUP(AI15,お客様データリスト!$C:$E,3,0),0)</f>
        <v>0</v>
      </c>
      <c r="AL15" s="50"/>
    </row>
    <row r="16" spans="2:38">
      <c r="B16" s="1000" t="s">
        <v>5217</v>
      </c>
      <c r="E16" s="54">
        <f>IF(G16&lt;&gt;"",COUNTA(G$2:G16)+E$1,"")</f>
        <v>111</v>
      </c>
      <c r="F16" s="49" t="s">
        <v>2644</v>
      </c>
      <c r="G16" s="49" t="s">
        <v>1475</v>
      </c>
      <c r="H16" s="50">
        <f>IF(G16&lt;&gt;"",MATCH(G16,お客様データリスト!$A$2:$MV$2,0),"")</f>
        <v>32</v>
      </c>
      <c r="I16" s="57">
        <f ca="1">IF(G16&lt;&gt;"",VLOOKUP(G16,お客様データリスト!$C:$E,3,0),0)</f>
        <v>0</v>
      </c>
      <c r="J16" s="50"/>
      <c r="L16" s="54">
        <f>IF(N16&lt;&gt;"",COUNTA(N$2:N16)+L$1,"")</f>
        <v>210</v>
      </c>
      <c r="M16" s="49" t="s">
        <v>2672</v>
      </c>
      <c r="N16" s="49" t="s">
        <v>1497</v>
      </c>
      <c r="O16" s="50">
        <f>IF(N16&lt;&gt;"",MATCH(N16,お客様データリスト!$A$2:$MV$2,0),"")</f>
        <v>62</v>
      </c>
      <c r="P16" s="57">
        <f ca="1">IF(N16&lt;&gt;"",VLOOKUP(N16,お客様データリスト!$C:$E,3,0),0)</f>
        <v>0</v>
      </c>
      <c r="Q16" s="50"/>
      <c r="S16" s="54">
        <f>IF(U16&lt;&gt;"",COUNTA(U$2:U16)+S$1,"")</f>
        <v>311</v>
      </c>
      <c r="T16" s="49" t="s">
        <v>773</v>
      </c>
      <c r="U16" s="49" t="s">
        <v>1552</v>
      </c>
      <c r="V16" s="50">
        <f>IF(U16&lt;&gt;"",MATCH(U16,お客様データリスト!$A$2:$MV$2,0),"")</f>
        <v>140</v>
      </c>
      <c r="W16" s="57">
        <f ca="1">IF(U16&lt;&gt;"",VLOOKUP(U16,お客様データリスト!$C:$E,3,0),0)</f>
        <v>0</v>
      </c>
      <c r="X16" s="50"/>
      <c r="Z16" s="54">
        <f>IF(AB16&lt;&gt;"",COUNTA(AB$2:AB16)+Z$1,"")</f>
        <v>411</v>
      </c>
      <c r="AA16" s="49" t="s">
        <v>2749</v>
      </c>
      <c r="AB16" s="49" t="s">
        <v>1600</v>
      </c>
      <c r="AC16" s="50">
        <f>IF(AB16&lt;&gt;"",MATCH(AB16,お客様データリスト!$A$2:$MV$2,0),"")</f>
        <v>214</v>
      </c>
      <c r="AD16" s="57">
        <f ca="1">IF(AB16&lt;&gt;"",VLOOKUP(AB16,お客様データリスト!$C:$E,3,0),0)</f>
        <v>7</v>
      </c>
      <c r="AE16" s="50"/>
      <c r="AG16" s="52" t="str">
        <f>IF(AI16&lt;&gt;"",COUNTA(AI$2:AI16)+AG$1,"")</f>
        <v/>
      </c>
      <c r="AH16" s="45" t="s">
        <v>2792</v>
      </c>
      <c r="AI16" s="45"/>
      <c r="AJ16" s="46" t="str">
        <f>IF(AI16&lt;&gt;"",MATCH(AI16,お客様データリスト!$A$2:$MV$2,0),"")</f>
        <v/>
      </c>
      <c r="AK16" s="58">
        <f>IF(AI16&lt;&gt;"",VLOOKUP(AI16,お客様データリスト!$C:$E,3,0),0)</f>
        <v>0</v>
      </c>
      <c r="AL16" s="59"/>
    </row>
    <row r="17" spans="2:38">
      <c r="B17" s="1000" t="s">
        <v>5218</v>
      </c>
      <c r="E17" s="54">
        <f>IF(G17&lt;&gt;"",COUNTA(G$2:G17)+E$1,"")</f>
        <v>112</v>
      </c>
      <c r="F17" s="49" t="s">
        <v>2645</v>
      </c>
      <c r="G17" s="49" t="s">
        <v>1476</v>
      </c>
      <c r="H17" s="50">
        <f>IF(G17&lt;&gt;"",MATCH(G17,お客様データリスト!$A$2:$MV$2,0),"")</f>
        <v>34</v>
      </c>
      <c r="I17" s="57">
        <f ca="1">IF(G17&lt;&gt;"",VLOOKUP(G17,お客様データリスト!$C:$E,3,0),0)</f>
        <v>0</v>
      </c>
      <c r="J17" s="50"/>
      <c r="L17" s="52" t="str">
        <f>IF(N17&lt;&gt;"",COUNTA(N$2:N17)+L$1,"")</f>
        <v/>
      </c>
      <c r="M17" s="45" t="s">
        <v>2673</v>
      </c>
      <c r="N17" s="45"/>
      <c r="O17" s="46" t="str">
        <f>IF(N17&lt;&gt;"",MATCH(N17,お客様データリスト!$A$2:$MV$2,0),"")</f>
        <v/>
      </c>
      <c r="P17" s="58">
        <f>IF(N17&lt;&gt;"",VLOOKUP(N17,お客様データリスト!$C:$E,3,0),0)</f>
        <v>0</v>
      </c>
      <c r="Q17" s="59"/>
      <c r="S17" s="54">
        <f>IF(U17&lt;&gt;"",COUNTA(U$2:U17)+S$1,"")</f>
        <v>312</v>
      </c>
      <c r="T17" s="49" t="s">
        <v>781</v>
      </c>
      <c r="U17" s="49" t="s">
        <v>1553</v>
      </c>
      <c r="V17" s="50">
        <f>IF(U17&lt;&gt;"",MATCH(U17,お客様データリスト!$A$2:$MV$2,0),"")</f>
        <v>142</v>
      </c>
      <c r="W17" s="57">
        <f ca="1">IF(U17&lt;&gt;"",VLOOKUP(U17,お客様データリスト!$C:$E,3,0),0)</f>
        <v>0</v>
      </c>
      <c r="X17" s="50"/>
      <c r="Z17" s="54">
        <f>IF(AB17&lt;&gt;"",COUNTA(AB$2:AB17)+Z$1,"")</f>
        <v>412</v>
      </c>
      <c r="AA17" s="49" t="s">
        <v>2750</v>
      </c>
      <c r="AB17" s="49" t="s">
        <v>1601</v>
      </c>
      <c r="AC17" s="50">
        <f>IF(AB17&lt;&gt;"",MATCH(AB17,お客様データリスト!$A$2:$MV$2,0),"")</f>
        <v>216</v>
      </c>
      <c r="AD17" s="57">
        <f ca="1">IF(AB17&lt;&gt;"",VLOOKUP(AB17,お客様データリスト!$C:$E,3,0),0)</f>
        <v>5</v>
      </c>
      <c r="AE17" s="50"/>
      <c r="AG17" s="53" t="str">
        <f>IF(AI17&lt;&gt;"",COUNTA(AI$2:AI17)+AG$1,"")</f>
        <v/>
      </c>
      <c r="AH17" s="47" t="s">
        <v>2639</v>
      </c>
      <c r="AI17" s="47"/>
      <c r="AJ17" s="48" t="str">
        <f>IF(AI17&lt;&gt;"",MATCH(AI17,お客様データリスト!$A$2:$MV$2,0),"")</f>
        <v/>
      </c>
      <c r="AK17" s="56">
        <f>IF(AI17&lt;&gt;"",VLOOKUP(AI17,お客様データリスト!$C:$E,3,0),0)</f>
        <v>0</v>
      </c>
      <c r="AL17" s="48"/>
    </row>
    <row r="18" spans="2:38">
      <c r="B18" s="1000" t="s">
        <v>5219</v>
      </c>
      <c r="E18" s="52" t="str">
        <f>IF(G18&lt;&gt;"",COUNTA(G$2:G18)+E$1,"")</f>
        <v/>
      </c>
      <c r="F18" s="45" t="s">
        <v>2649</v>
      </c>
      <c r="G18" s="45"/>
      <c r="H18" s="46" t="str">
        <f>IF(G18&lt;&gt;"",MATCH(G18,お客様データリスト!$A$2:$MV$2,0),"")</f>
        <v/>
      </c>
      <c r="I18" s="55">
        <f>IF(G18&lt;&gt;"",VLOOKUP(G18,お客様データリスト!$C:$E,3,0),0)</f>
        <v>0</v>
      </c>
      <c r="J18" s="46"/>
      <c r="L18" s="53" t="str">
        <f>IF(N18&lt;&gt;"",COUNTA(N$2:N18)+L$1,"")</f>
        <v/>
      </c>
      <c r="M18" s="47" t="s">
        <v>2674</v>
      </c>
      <c r="N18" s="47"/>
      <c r="O18" s="48" t="str">
        <f>IF(N18&lt;&gt;"",MATCH(N18,お客様データリスト!$A$2:$MV$2,0),"")</f>
        <v/>
      </c>
      <c r="P18" s="56">
        <f>IF(N18&lt;&gt;"",VLOOKUP(N18,お客様データリスト!$C:$E,3,0),0)</f>
        <v>0</v>
      </c>
      <c r="Q18" s="48"/>
      <c r="S18" s="54">
        <f>IF(U18&lt;&gt;"",COUNTA(U$2:U18)+S$1,"")</f>
        <v>313</v>
      </c>
      <c r="T18" s="49" t="s">
        <v>789</v>
      </c>
      <c r="U18" s="49" t="s">
        <v>1554</v>
      </c>
      <c r="V18" s="50">
        <f>IF(U18&lt;&gt;"",MATCH(U18,お客様データリスト!$A$2:$MV$2,0),"")</f>
        <v>144</v>
      </c>
      <c r="W18" s="57">
        <f ca="1">IF(U18&lt;&gt;"",VLOOKUP(U18,お客様データリスト!$C:$E,3,0),0)</f>
        <v>0</v>
      </c>
      <c r="X18" s="50"/>
      <c r="Z18" s="54">
        <f>IF(AB18&lt;&gt;"",COUNTA(AB$2:AB18)+Z$1,"")</f>
        <v>413</v>
      </c>
      <c r="AA18" s="49" t="s">
        <v>2751</v>
      </c>
      <c r="AB18" s="49" t="s">
        <v>1602</v>
      </c>
      <c r="AC18" s="50">
        <f>IF(AB18&lt;&gt;"",MATCH(AB18,お客様データリスト!$A$2:$MV$2,0),"")</f>
        <v>218</v>
      </c>
      <c r="AD18" s="57">
        <f ca="1">IF(AB18&lt;&gt;"",VLOOKUP(AB18,お客様データリスト!$C:$E,3,0),0)</f>
        <v>2</v>
      </c>
      <c r="AE18" s="50"/>
      <c r="AG18" s="54">
        <f>IF(AI18&lt;&gt;"",COUNTA(AI$2:AI18)+AG$1,"")</f>
        <v>510</v>
      </c>
      <c r="AH18" s="49" t="s">
        <v>2793</v>
      </c>
      <c r="AI18" s="49" t="s">
        <v>1438</v>
      </c>
      <c r="AJ18" s="50">
        <f>IF(AI18&lt;&gt;"",MATCH(AI18,お客様データリスト!$A$2:$MV$2,0),"")</f>
        <v>316</v>
      </c>
      <c r="AK18" s="57">
        <f ca="1">IF(AI18&lt;&gt;"",VLOOKUP(AI18,お客様データリスト!$C:$E,3,0),0)</f>
        <v>0</v>
      </c>
      <c r="AL18" s="50"/>
    </row>
    <row r="19" spans="2:38">
      <c r="B19" s="1000" t="s">
        <v>5220</v>
      </c>
      <c r="E19" s="53" t="str">
        <f>IF(G19&lt;&gt;"",COUNTA(G$2:G19)+E$1,"")</f>
        <v/>
      </c>
      <c r="F19" s="47" t="s">
        <v>2650</v>
      </c>
      <c r="G19" s="47"/>
      <c r="H19" s="48" t="str">
        <f>IF(G19&lt;&gt;"",MATCH(G19,お客様データリスト!$A$2:$MV$2,0),"")</f>
        <v/>
      </c>
      <c r="I19" s="56">
        <f>IF(G19&lt;&gt;"",VLOOKUP(G19,お客様データリスト!$C:$E,3,0),0)</f>
        <v>0</v>
      </c>
      <c r="J19" s="48"/>
      <c r="L19" s="54">
        <f>IF(N19&lt;&gt;"",COUNTA(N$2:N19)+L$1,"")</f>
        <v>211</v>
      </c>
      <c r="M19" s="49" t="s">
        <v>2675</v>
      </c>
      <c r="N19" s="49" t="s">
        <v>1500</v>
      </c>
      <c r="O19" s="50">
        <f>IF(N19&lt;&gt;"",MATCH(N19,お客様データリスト!$A$2:$MV$2,0),"")</f>
        <v>64</v>
      </c>
      <c r="P19" s="57">
        <f ca="1">IF(N19&lt;&gt;"",VLOOKUP(N19,お客様データリスト!$C:$E,3,0),0)</f>
        <v>0</v>
      </c>
      <c r="Q19" s="50"/>
      <c r="S19" s="54">
        <f>IF(U19&lt;&gt;"",COUNTA(U$2:U19)+S$1,"")</f>
        <v>314</v>
      </c>
      <c r="T19" s="49" t="s">
        <v>2709</v>
      </c>
      <c r="U19" s="49" t="s">
        <v>1555</v>
      </c>
      <c r="V19" s="50">
        <f>IF(U19&lt;&gt;"",MATCH(U19,お客様データリスト!$A$2:$MV$2,0),"")</f>
        <v>146</v>
      </c>
      <c r="W19" s="57">
        <f ca="1">IF(U19&lt;&gt;"",VLOOKUP(U19,お客様データリスト!$C:$E,3,0),0)</f>
        <v>0</v>
      </c>
      <c r="X19" s="50"/>
      <c r="Z19" s="54">
        <f>IF(AB19&lt;&gt;"",COUNTA(AB$2:AB19)+Z$1,"")</f>
        <v>414</v>
      </c>
      <c r="AA19" s="49" t="s">
        <v>2752</v>
      </c>
      <c r="AB19" s="49" t="s">
        <v>1603</v>
      </c>
      <c r="AC19" s="50">
        <f>IF(AB19&lt;&gt;"",MATCH(AB19,お客様データリスト!$A$2:$MV$2,0),"")</f>
        <v>220</v>
      </c>
      <c r="AD19" s="57">
        <f ca="1">IF(AB19&lt;&gt;"",VLOOKUP(AB19,お客様データリスト!$C:$E,3,0),0)</f>
        <v>15</v>
      </c>
      <c r="AE19" s="50"/>
      <c r="AG19" s="54">
        <f>IF(AI19&lt;&gt;"",COUNTA(AI$2:AI19)+AG$1,"")</f>
        <v>511</v>
      </c>
      <c r="AH19" s="49" t="s">
        <v>2794</v>
      </c>
      <c r="AI19" s="49" t="s">
        <v>1439</v>
      </c>
      <c r="AJ19" s="50">
        <f>IF(AI19&lt;&gt;"",MATCH(AI19,お客様データリスト!$A$2:$MV$2,0),"")</f>
        <v>318</v>
      </c>
      <c r="AK19" s="57">
        <f ca="1">IF(AI19&lt;&gt;"",VLOOKUP(AI19,お客様データリスト!$C:$E,3,0),0)</f>
        <v>0</v>
      </c>
      <c r="AL19" s="50"/>
    </row>
    <row r="20" spans="2:38">
      <c r="B20" s="37" t="s">
        <v>5221</v>
      </c>
      <c r="E20" s="54">
        <f>IF(G20&lt;&gt;"",COUNTA(G$2:G20)+E$1,"")</f>
        <v>113</v>
      </c>
      <c r="F20" s="49" t="s">
        <v>2651</v>
      </c>
      <c r="G20" s="49" t="s">
        <v>1437</v>
      </c>
      <c r="H20" s="50">
        <f>IF(G20&lt;&gt;"",MATCH(G20,お客様データリスト!$A$2:$MV$2,0),"")</f>
        <v>314</v>
      </c>
      <c r="I20" s="57">
        <f ca="1">IF(G20&lt;&gt;"",VLOOKUP(G20,お客様データリスト!$C:$E,3,0),0)</f>
        <v>1</v>
      </c>
      <c r="J20" s="50"/>
      <c r="L20" s="53" t="str">
        <f>IF(N20&lt;&gt;"",COUNTA(N$2:N20)+L$1,"")</f>
        <v/>
      </c>
      <c r="M20" s="47" t="s">
        <v>2676</v>
      </c>
      <c r="N20" s="47"/>
      <c r="O20" s="48" t="str">
        <f>IF(N20&lt;&gt;"",MATCH(N20,お客様データリスト!$A$2:$MV$2,0),"")</f>
        <v/>
      </c>
      <c r="P20" s="56">
        <f>IF(N20&lt;&gt;"",VLOOKUP(N20,お客様データリスト!$C:$E,3,0),0)</f>
        <v>0</v>
      </c>
      <c r="Q20" s="48"/>
      <c r="S20" s="53" t="str">
        <f>IF(U20&lt;&gt;"",COUNTA(U$2:U20)+S$1,"")</f>
        <v/>
      </c>
      <c r="T20" s="47" t="s">
        <v>2710</v>
      </c>
      <c r="U20" s="47"/>
      <c r="V20" s="48" t="str">
        <f>IF(U20&lt;&gt;"",MATCH(U20,お客様データリスト!$A$2:$MV$2,0),"")</f>
        <v/>
      </c>
      <c r="W20" s="56">
        <f>IF(U20&lt;&gt;"",VLOOKUP(U20,お客様データリスト!$C:$E,3,0),0)</f>
        <v>0</v>
      </c>
      <c r="X20" s="48"/>
      <c r="Z20" s="53" t="str">
        <f>IF(AB20&lt;&gt;"",COUNTA(AB$2:AB20)+Z$1,"")</f>
        <v/>
      </c>
      <c r="AA20" s="47" t="s">
        <v>2753</v>
      </c>
      <c r="AB20" s="47"/>
      <c r="AC20" s="48" t="str">
        <f>IF(AB20&lt;&gt;"",MATCH(AB20,お客様データリスト!$A$2:$MV$2,0),"")</f>
        <v/>
      </c>
      <c r="AD20" s="56">
        <f>IF(AB20&lt;&gt;"",VLOOKUP(AB20,お客様データリスト!$C:$E,3,0),0)</f>
        <v>0</v>
      </c>
      <c r="AE20" s="48"/>
      <c r="AG20" s="54">
        <f>IF(AI20&lt;&gt;"",COUNTA(AI$2:AI20)+AG$1,"")</f>
        <v>512</v>
      </c>
      <c r="AH20" s="49" t="s">
        <v>2795</v>
      </c>
      <c r="AI20" s="49" t="s">
        <v>1440</v>
      </c>
      <c r="AJ20" s="50">
        <f>IF(AI20&lt;&gt;"",MATCH(AI20,お客様データリスト!$A$2:$MV$2,0),"")</f>
        <v>320</v>
      </c>
      <c r="AK20" s="57">
        <f ca="1">IF(AI20&lt;&gt;"",VLOOKUP(AI20,お客様データリスト!$C:$E,3,0),0)</f>
        <v>0</v>
      </c>
      <c r="AL20" s="50"/>
    </row>
    <row r="21" spans="2:38">
      <c r="B21" s="37"/>
      <c r="E21" s="54">
        <f>IF(G21&lt;&gt;"",COUNTA(G$2:G21)+E$1,"")</f>
        <v>114</v>
      </c>
      <c r="F21" s="49" t="s">
        <v>2652</v>
      </c>
      <c r="G21" s="49" t="s">
        <v>2840</v>
      </c>
      <c r="H21" s="50">
        <f>IF(G21&lt;&gt;"",MATCH(G21,お客様データリスト!$A$2:$MV$2,0),"")</f>
        <v>326</v>
      </c>
      <c r="I21" s="57">
        <f ca="1">IF(G21&lt;&gt;"",VLOOKUP(G21,お客様データリスト!$C:$E,3,0),0)</f>
        <v>1</v>
      </c>
      <c r="J21" s="50"/>
      <c r="L21" s="54">
        <f>IF(N21&lt;&gt;"",COUNTA(N$2:N21)+L$1,"")</f>
        <v>212</v>
      </c>
      <c r="M21" s="49" t="s">
        <v>2675</v>
      </c>
      <c r="N21" s="49" t="s">
        <v>1501</v>
      </c>
      <c r="O21" s="50">
        <f>IF(N21&lt;&gt;"",MATCH(N21,お客様データリスト!$A$2:$MV$2,0),"")</f>
        <v>66</v>
      </c>
      <c r="P21" s="57">
        <f ca="1">IF(N21&lt;&gt;"",VLOOKUP(N21,お客様データリスト!$C:$E,3,0),0)</f>
        <v>0</v>
      </c>
      <c r="Q21" s="50"/>
      <c r="S21" s="54">
        <f>IF(U21&lt;&gt;"",COUNTA(U$2:U21)+S$1,"")</f>
        <v>315</v>
      </c>
      <c r="T21" s="49" t="s">
        <v>2711</v>
      </c>
      <c r="U21" s="49" t="s">
        <v>1556</v>
      </c>
      <c r="V21" s="50">
        <f>IF(U21&lt;&gt;"",MATCH(U21,お客様データリスト!$A$2:$MV$2,0),"")</f>
        <v>148</v>
      </c>
      <c r="W21" s="57">
        <f ca="1">IF(U21&lt;&gt;"",VLOOKUP(U21,お客様データリスト!$C:$E,3,0),0)</f>
        <v>5</v>
      </c>
      <c r="X21" s="50"/>
      <c r="Z21" s="54">
        <f>IF(AB21&lt;&gt;"",COUNTA(AB$2:AB21)+Z$1,"")</f>
        <v>415</v>
      </c>
      <c r="AA21" s="49" t="s">
        <v>2754</v>
      </c>
      <c r="AB21" s="49" t="s">
        <v>1604</v>
      </c>
      <c r="AC21" s="50">
        <f>IF(AB21&lt;&gt;"",MATCH(AB21,お客様データリスト!$A$2:$MV$2,0),"")</f>
        <v>222</v>
      </c>
      <c r="AD21" s="57">
        <f ca="1">IF(AB21&lt;&gt;"",VLOOKUP(AB21,お客様データリスト!$C:$E,3,0),0)</f>
        <v>0</v>
      </c>
      <c r="AE21" s="50"/>
      <c r="AG21" s="54">
        <f>IF(AI21&lt;&gt;"",COUNTA(AI$2:AI21)+AG$1,"")</f>
        <v>513</v>
      </c>
      <c r="AH21" s="49" t="s">
        <v>2796</v>
      </c>
      <c r="AI21" s="49" t="s">
        <v>1441</v>
      </c>
      <c r="AJ21" s="50">
        <f>IF(AI21&lt;&gt;"",MATCH(AI21,お客様データリスト!$A$2:$MV$2,0),"")</f>
        <v>322</v>
      </c>
      <c r="AK21" s="57">
        <f ca="1">IF(AI21&lt;&gt;"",VLOOKUP(AI21,お客様データリスト!$C:$E,3,0),0)</f>
        <v>0</v>
      </c>
      <c r="AL21" s="50"/>
    </row>
    <row r="22" spans="2:38">
      <c r="B22" s="37"/>
      <c r="E22" s="53" t="str">
        <f>IF(G22&lt;&gt;"",COUNTA(G$2:G22)+E$1,"")</f>
        <v/>
      </c>
      <c r="F22" s="47" t="s">
        <v>2653</v>
      </c>
      <c r="G22" s="47"/>
      <c r="H22" s="48" t="str">
        <f>IF(G22&lt;&gt;"",MATCH(G22,お客様データリスト!$A$2:$MV$2,0),"")</f>
        <v/>
      </c>
      <c r="I22" s="56">
        <f>IF(G22&lt;&gt;"",VLOOKUP(G22,お客様データリスト!$C:$E,3,0),0)</f>
        <v>0</v>
      </c>
      <c r="J22" s="48"/>
      <c r="L22" s="53" t="str">
        <f>IF(N22&lt;&gt;"",COUNTA(N$2:N22)+L$1,"")</f>
        <v/>
      </c>
      <c r="M22" s="47" t="s">
        <v>2677</v>
      </c>
      <c r="N22" s="47"/>
      <c r="O22" s="48" t="str">
        <f>IF(N22&lt;&gt;"",MATCH(N22,お客様データリスト!$A$2:$MV$2,0),"")</f>
        <v/>
      </c>
      <c r="P22" s="56">
        <f>IF(N22&lt;&gt;"",VLOOKUP(N22,お客様データリスト!$C:$E,3,0),0)</f>
        <v>0</v>
      </c>
      <c r="Q22" s="48"/>
      <c r="S22" s="54">
        <f>IF(U22&lt;&gt;"",COUNTA(U$2:U22)+S$1,"")</f>
        <v>316</v>
      </c>
      <c r="T22" s="49" t="s">
        <v>2712</v>
      </c>
      <c r="U22" s="49" t="s">
        <v>1557</v>
      </c>
      <c r="V22" s="50">
        <f>IF(U22&lt;&gt;"",MATCH(U22,お客様データリスト!$A$2:$MV$2,0),"")</f>
        <v>150</v>
      </c>
      <c r="W22" s="57">
        <f ca="1">IF(U22&lt;&gt;"",VLOOKUP(U22,お客様データリスト!$C:$E,3,0),0)</f>
        <v>1</v>
      </c>
      <c r="X22" s="50"/>
      <c r="Z22" s="54">
        <f>IF(AB22&lt;&gt;"",COUNTA(AB$2:AB22)+Z$1,"")</f>
        <v>416</v>
      </c>
      <c r="AA22" s="49" t="s">
        <v>2755</v>
      </c>
      <c r="AB22" s="49" t="s">
        <v>1605</v>
      </c>
      <c r="AC22" s="50">
        <f>IF(AB22&lt;&gt;"",MATCH(AB22,お客様データリスト!$A$2:$MV$2,0),"")</f>
        <v>224</v>
      </c>
      <c r="AD22" s="57">
        <f ca="1">IF(AB22&lt;&gt;"",VLOOKUP(AB22,お客様データリスト!$C:$E,3,0),0)</f>
        <v>0</v>
      </c>
      <c r="AE22" s="50"/>
      <c r="AG22" s="54">
        <f>IF(AI22&lt;&gt;"",COUNTA(AI$2:AI22)+AG$1,"")</f>
        <v>514</v>
      </c>
      <c r="AH22" s="49" t="s">
        <v>2797</v>
      </c>
      <c r="AI22" s="49" t="s">
        <v>1442</v>
      </c>
      <c r="AJ22" s="50">
        <f>IF(AI22&lt;&gt;"",MATCH(AI22,お客様データリスト!$A$2:$MV$2,0),"")</f>
        <v>324</v>
      </c>
      <c r="AK22" s="57">
        <f ca="1">IF(AI22&lt;&gt;"",VLOOKUP(AI22,お客様データリスト!$C:$E,3,0),0)</f>
        <v>0</v>
      </c>
      <c r="AL22" s="50"/>
    </row>
    <row r="23" spans="2:38">
      <c r="B23" s="37"/>
      <c r="E23" s="54">
        <f>IF(G23&lt;&gt;"",COUNTA(G$2:G23)+E$1,"")</f>
        <v>115</v>
      </c>
      <c r="F23" s="49" t="s">
        <v>2654</v>
      </c>
      <c r="G23" s="49" t="s">
        <v>1650</v>
      </c>
      <c r="H23" s="50">
        <f>IF(G23&lt;&gt;"",MATCH(G23,お客様データリスト!$A$2:$MV$2,0),"")</f>
        <v>290</v>
      </c>
      <c r="I23" s="57">
        <f ca="1">IF(G23&lt;&gt;"",VLOOKUP(G23,お客様データリスト!$C:$E,3,0),0)</f>
        <v>2</v>
      </c>
      <c r="J23" s="50"/>
      <c r="L23" s="54">
        <f>IF(N23&lt;&gt;"",COUNTA(N$2:N23)+L$1,"")</f>
        <v>213</v>
      </c>
      <c r="M23" s="49" t="s">
        <v>2675</v>
      </c>
      <c r="N23" s="49" t="s">
        <v>1502</v>
      </c>
      <c r="O23" s="50">
        <f>IF(N23&lt;&gt;"",MATCH(N23,お客様データリスト!$A$2:$MV$2,0),"")</f>
        <v>68</v>
      </c>
      <c r="P23" s="57">
        <f ca="1">IF(N23&lt;&gt;"",VLOOKUP(N23,お客様データリスト!$C:$E,3,0),0)</f>
        <v>0</v>
      </c>
      <c r="Q23" s="50"/>
      <c r="S23" s="53" t="str">
        <f>IF(U23&lt;&gt;"",COUNTA(U$2:U23)+S$1,"")</f>
        <v/>
      </c>
      <c r="T23" s="47" t="s">
        <v>2713</v>
      </c>
      <c r="U23" s="47"/>
      <c r="V23" s="48" t="str">
        <f>IF(U23&lt;&gt;"",MATCH(U23,お客様データリスト!$A$2:$MV$2,0),"")</f>
        <v/>
      </c>
      <c r="W23" s="56">
        <f>IF(U23&lt;&gt;"",VLOOKUP(U23,お客様データリスト!$C:$E,3,0),0)</f>
        <v>0</v>
      </c>
      <c r="X23" s="48"/>
      <c r="Z23" s="54">
        <f>IF(AB23&lt;&gt;"",COUNTA(AB$2:AB23)+Z$1,"")</f>
        <v>417</v>
      </c>
      <c r="AA23" s="49" t="s">
        <v>2756</v>
      </c>
      <c r="AB23" s="49" t="s">
        <v>1606</v>
      </c>
      <c r="AC23" s="50">
        <f>IF(AB23&lt;&gt;"",MATCH(AB23,お客様データリスト!$A$2:$MV$2,0),"")</f>
        <v>226</v>
      </c>
      <c r="AD23" s="57">
        <f ca="1">IF(AB23&lt;&gt;"",VLOOKUP(AB23,お客様データリスト!$C:$E,3,0),0)</f>
        <v>0</v>
      </c>
      <c r="AE23" s="50"/>
      <c r="AG23" s="52" t="str">
        <f>IF(AI23&lt;&gt;"",COUNTA(AI$2:AI23)+AG$1,"")</f>
        <v/>
      </c>
      <c r="AH23" s="45" t="s">
        <v>2798</v>
      </c>
      <c r="AI23" s="45"/>
      <c r="AJ23" s="46" t="str">
        <f>IF(AI23&lt;&gt;"",MATCH(AI23,お客様データリスト!$A$2:$MV$2,0),"")</f>
        <v/>
      </c>
      <c r="AK23" s="58">
        <f>IF(AI23&lt;&gt;"",VLOOKUP(AI23,お客様データリスト!$C:$E,3,0),0)</f>
        <v>0</v>
      </c>
      <c r="AL23" s="59"/>
    </row>
    <row r="24" spans="2:38">
      <c r="B24" s="37"/>
      <c r="E24" s="54">
        <f>IF(G24&lt;&gt;"",COUNTA(G$2:G24)+E$1,"")</f>
        <v>116</v>
      </c>
      <c r="F24" s="49" t="s">
        <v>2655</v>
      </c>
      <c r="G24" s="49" t="s">
        <v>1651</v>
      </c>
      <c r="H24" s="50">
        <f>IF(G24&lt;&gt;"",MATCH(G24,お客様データリスト!$A$2:$MV$2,0),"")</f>
        <v>292</v>
      </c>
      <c r="I24" s="57">
        <f ca="1">IF(G24&lt;&gt;"",VLOOKUP(G24,お客様データリスト!$C:$E,3,0),0)</f>
        <v>0</v>
      </c>
      <c r="J24" s="50"/>
      <c r="L24" s="53" t="str">
        <f>IF(N24&lt;&gt;"",COUNTA(N$2:N24)+L$1,"")</f>
        <v/>
      </c>
      <c r="M24" s="47" t="s">
        <v>2678</v>
      </c>
      <c r="N24" s="47"/>
      <c r="O24" s="48" t="str">
        <f>IF(N24&lt;&gt;"",MATCH(N24,お客様データリスト!$A$2:$MV$2,0),"")</f>
        <v/>
      </c>
      <c r="P24" s="56">
        <f>IF(N24&lt;&gt;"",VLOOKUP(N24,お客様データリスト!$C:$E,3,0),0)</f>
        <v>0</v>
      </c>
      <c r="Q24" s="48"/>
      <c r="S24" s="54">
        <f>IF(U24&lt;&gt;"",COUNTA(U$2:U24)+S$1,"")</f>
        <v>317</v>
      </c>
      <c r="T24" s="49" t="s">
        <v>2669</v>
      </c>
      <c r="U24" s="49" t="s">
        <v>1560</v>
      </c>
      <c r="V24" s="50">
        <f>IF(U24&lt;&gt;"",MATCH(U24,お客様データリスト!$A$2:$MV$2,0),"")</f>
        <v>156</v>
      </c>
      <c r="W24" s="57">
        <f ca="1">IF(U24&lt;&gt;"",VLOOKUP(U24,お客様データリスト!$C:$E,3,0),0)</f>
        <v>1</v>
      </c>
      <c r="X24" s="50"/>
      <c r="Z24" s="54">
        <f>IF(AB24&lt;&gt;"",COUNTA(AB$2:AB24)+Z$1,"")</f>
        <v>418</v>
      </c>
      <c r="AA24" s="49" t="s">
        <v>2757</v>
      </c>
      <c r="AB24" s="49" t="s">
        <v>1607</v>
      </c>
      <c r="AC24" s="50">
        <f>IF(AB24&lt;&gt;"",MATCH(AB24,お客様データリスト!$A$2:$MV$2,0),"")</f>
        <v>228</v>
      </c>
      <c r="AD24" s="57">
        <f ca="1">IF(AB24&lt;&gt;"",VLOOKUP(AB24,お客様データリスト!$C:$E,3,0),0)</f>
        <v>0</v>
      </c>
      <c r="AE24" s="50"/>
      <c r="AG24" s="53" t="str">
        <f>IF(AI24&lt;&gt;"",COUNTA(AI$2:AI24)+AG$1,"")</f>
        <v/>
      </c>
      <c r="AH24" s="47" t="s">
        <v>2799</v>
      </c>
      <c r="AI24" s="47"/>
      <c r="AJ24" s="48" t="str">
        <f>IF(AI24&lt;&gt;"",MATCH(AI24,お客様データリスト!$A$2:$MV$2,0),"")</f>
        <v/>
      </c>
      <c r="AK24" s="56">
        <f>IF(AI24&lt;&gt;"",VLOOKUP(AI24,お客様データリスト!$C:$E,3,0),0)</f>
        <v>0</v>
      </c>
      <c r="AL24" s="48"/>
    </row>
    <row r="25" spans="2:38">
      <c r="B25" s="37"/>
      <c r="E25" s="54">
        <f>IF(G25&lt;&gt;"",COUNTA(G$2:G25)+E$1,"")</f>
        <v>117</v>
      </c>
      <c r="F25" s="49" t="s">
        <v>3938</v>
      </c>
      <c r="G25" s="49" t="s">
        <v>1652</v>
      </c>
      <c r="H25" s="50">
        <f>IF(G25&lt;&gt;"",MATCH(G25,お客様データリスト!$A$2:$MV$2,0),"")</f>
        <v>294</v>
      </c>
      <c r="I25" s="57">
        <f ca="1">IF(G25&lt;&gt;"",VLOOKUP(G25,お客様データリスト!$C:$E,3,0),0)</f>
        <v>3</v>
      </c>
      <c r="J25" s="50"/>
      <c r="L25" s="54">
        <f>IF(N25&lt;&gt;"",COUNTA(N$2:N25)+L$1,"")</f>
        <v>214</v>
      </c>
      <c r="M25" s="49" t="s">
        <v>2675</v>
      </c>
      <c r="N25" s="49" t="s">
        <v>1503</v>
      </c>
      <c r="O25" s="50">
        <f>IF(N25&lt;&gt;"",MATCH(N25,お客様データリスト!$A$2:$MV$2,0),"")</f>
        <v>70</v>
      </c>
      <c r="P25" s="57">
        <f ca="1">IF(N25&lt;&gt;"",VLOOKUP(N25,お客様データリスト!$C:$E,3,0),0)</f>
        <v>0</v>
      </c>
      <c r="Q25" s="50"/>
      <c r="S25" s="53" t="str">
        <f>IF(U25&lt;&gt;"",COUNTA(U$2:U25)+S$1,"")</f>
        <v/>
      </c>
      <c r="T25" s="47" t="s">
        <v>2714</v>
      </c>
      <c r="U25" s="47"/>
      <c r="V25" s="48" t="str">
        <f>IF(U25&lt;&gt;"",MATCH(U25,お客様データリスト!$A$2:$MV$2,0),"")</f>
        <v/>
      </c>
      <c r="W25" s="56">
        <f>IF(U25&lt;&gt;"",VLOOKUP(U25,お客様データリスト!$C:$E,3,0),0)</f>
        <v>0</v>
      </c>
      <c r="X25" s="48"/>
      <c r="Z25" s="53" t="str">
        <f>IF(AB25&lt;&gt;"",COUNTA(AB$2:AB25)+Z$1,"")</f>
        <v/>
      </c>
      <c r="AA25" s="47" t="s">
        <v>2758</v>
      </c>
      <c r="AB25" s="47"/>
      <c r="AC25" s="48" t="str">
        <f>IF(AB25&lt;&gt;"",MATCH(AB25,お客様データリスト!$A$2:$MV$2,0),"")</f>
        <v/>
      </c>
      <c r="AD25" s="56">
        <f>IF(AB25&lt;&gt;"",VLOOKUP(AB25,お客様データリスト!$C:$E,3,0),0)</f>
        <v>0</v>
      </c>
      <c r="AE25" s="48"/>
      <c r="AG25" s="54">
        <f>IF(AI25&lt;&gt;"",COUNTA(AI$2:AI25)+AG$1,"")</f>
        <v>515</v>
      </c>
      <c r="AH25" s="49" t="s">
        <v>2800</v>
      </c>
      <c r="AI25" s="49" t="s">
        <v>1653</v>
      </c>
      <c r="AJ25" s="50">
        <f>IF(AI25&lt;&gt;"",MATCH(AI25,お客様データリスト!$A$2:$MV$2,0),"")</f>
        <v>296</v>
      </c>
      <c r="AK25" s="57">
        <f ca="1">IF(AI25&lt;&gt;"",VLOOKUP(AI25,お客様データリスト!$C:$E,3,0),0)</f>
        <v>1</v>
      </c>
      <c r="AL25" s="50"/>
    </row>
    <row r="26" spans="2:38">
      <c r="B26" s="37"/>
      <c r="E26" s="52" t="str">
        <f>IF(G26&lt;&gt;"",COUNTA(G$2:G26)+E$1,"")</f>
        <v/>
      </c>
      <c r="F26" s="45" t="s">
        <v>2656</v>
      </c>
      <c r="G26" s="45"/>
      <c r="H26" s="46" t="str">
        <f>IF(G26&lt;&gt;"",MATCH(G26,お客様データリスト!$A$2:$MV$2,0),"")</f>
        <v/>
      </c>
      <c r="I26" s="55">
        <f>IF(G26&lt;&gt;"",VLOOKUP(G26,お客様データリスト!$C:$E,3,0),0)</f>
        <v>0</v>
      </c>
      <c r="J26" s="46"/>
      <c r="L26" s="52" t="str">
        <f>IF(N26&lt;&gt;"",COUNTA(N$2:N26)+L$1,"")</f>
        <v/>
      </c>
      <c r="M26" s="45" t="s">
        <v>2679</v>
      </c>
      <c r="N26" s="45"/>
      <c r="O26" s="46" t="str">
        <f>IF(N26&lt;&gt;"",MATCH(N26,お客様データリスト!$A$2:$MV$2,0),"")</f>
        <v/>
      </c>
      <c r="P26" s="58">
        <f>IF(N26&lt;&gt;"",VLOOKUP(N26,お客様データリスト!$C:$E,3,0),0)</f>
        <v>0</v>
      </c>
      <c r="Q26" s="59"/>
      <c r="S26" s="54">
        <f>IF(U26&lt;&gt;"",COUNTA(U$2:U26)+S$1,"")</f>
        <v>318</v>
      </c>
      <c r="T26" s="49" t="s">
        <v>884</v>
      </c>
      <c r="U26" s="49" t="s">
        <v>1561</v>
      </c>
      <c r="V26" s="50">
        <f>IF(U26&lt;&gt;"",MATCH(U26,お客様データリスト!$A$2:$MV$2,0),"")</f>
        <v>158</v>
      </c>
      <c r="W26" s="57">
        <f ca="1">IF(U26&lt;&gt;"",VLOOKUP(U26,お客様データリスト!$C:$E,3,0),0)</f>
        <v>1</v>
      </c>
      <c r="X26" s="50"/>
      <c r="Z26" s="54">
        <f>IF(AB26&lt;&gt;"",COUNTA(AB$2:AB26)+Z$1,"")</f>
        <v>419</v>
      </c>
      <c r="AA26" s="49" t="s">
        <v>2759</v>
      </c>
      <c r="AB26" s="49" t="s">
        <v>1610</v>
      </c>
      <c r="AC26" s="50">
        <f>IF(AB26&lt;&gt;"",MATCH(AB26,お客様データリスト!$A$2:$MV$2,0),"")</f>
        <v>232</v>
      </c>
      <c r="AD26" s="57">
        <f ca="1">IF(AB26&lt;&gt;"",VLOOKUP(AB26,お客様データリスト!$C:$E,3,0),0)</f>
        <v>0</v>
      </c>
      <c r="AE26" s="50"/>
      <c r="AG26" s="54">
        <f>IF(AI26&lt;&gt;"",COUNTA(AI$2:AI26)+AG$1,"")</f>
        <v>516</v>
      </c>
      <c r="AH26" s="49" t="s">
        <v>2801</v>
      </c>
      <c r="AI26" s="49" t="s">
        <v>1654</v>
      </c>
      <c r="AJ26" s="50">
        <f>IF(AI26&lt;&gt;"",MATCH(AI26,お客様データリスト!$A$2:$MV$2,0),"")</f>
        <v>298</v>
      </c>
      <c r="AK26" s="57">
        <f ca="1">IF(AI26&lt;&gt;"",VLOOKUP(AI26,お客様データリスト!$C:$E,3,0),0)</f>
        <v>2</v>
      </c>
      <c r="AL26" s="50"/>
    </row>
    <row r="27" spans="2:38">
      <c r="B27" s="63"/>
      <c r="E27" s="54">
        <f>IF(G27&lt;&gt;"",COUNTA(G$2:G27)+E$1,"")</f>
        <v>118</v>
      </c>
      <c r="F27" s="49" t="s">
        <v>2657</v>
      </c>
      <c r="G27" s="49" t="s">
        <v>1479</v>
      </c>
      <c r="H27" s="50">
        <f>IF(G27&lt;&gt;"",MATCH(G27,お客様データリスト!$A$2:$MV$2,0),"")</f>
        <v>36</v>
      </c>
      <c r="I27" s="57">
        <f ca="1">IF(G27&lt;&gt;"",VLOOKUP(G27,お客様データリスト!$C:$E,3,0),0)</f>
        <v>0</v>
      </c>
      <c r="J27" s="50"/>
      <c r="L27" s="53" t="str">
        <f>IF(N27&lt;&gt;"",COUNTA(N$2:N27)+L$1,"")</f>
        <v/>
      </c>
      <c r="M27" s="47" t="s">
        <v>2680</v>
      </c>
      <c r="N27" s="47"/>
      <c r="O27" s="48" t="str">
        <f>IF(N27&lt;&gt;"",MATCH(N27,お客様データリスト!$A$2:$MV$2,0),"")</f>
        <v/>
      </c>
      <c r="P27" s="56">
        <f>IF(N27&lt;&gt;"",VLOOKUP(N27,お客様データリスト!$C:$E,3,0),0)</f>
        <v>0</v>
      </c>
      <c r="Q27" s="48"/>
      <c r="S27" s="53" t="str">
        <f>IF(U27&lt;&gt;"",COUNTA(U$2:U27)+S$1,"")</f>
        <v/>
      </c>
      <c r="T27" s="47" t="s">
        <v>2715</v>
      </c>
      <c r="U27" s="47"/>
      <c r="V27" s="48" t="str">
        <f>IF(U27&lt;&gt;"",MATCH(U27,お客様データリスト!$A$2:$MV$2,0),"")</f>
        <v/>
      </c>
      <c r="W27" s="56">
        <f>IF(U27&lt;&gt;"",VLOOKUP(U27,お客様データリスト!$C:$E,3,0),0)</f>
        <v>0</v>
      </c>
      <c r="X27" s="48"/>
      <c r="Z27" s="54">
        <f>IF(AB27&lt;&gt;"",COUNTA(AB$2:AB27)+Z$1,"")</f>
        <v>420</v>
      </c>
      <c r="AA27" s="49" t="s">
        <v>2760</v>
      </c>
      <c r="AB27" s="49" t="s">
        <v>1611</v>
      </c>
      <c r="AC27" s="50">
        <f>IF(AB27&lt;&gt;"",MATCH(AB27,お客様データリスト!$A$2:$MV$2,0),"")</f>
        <v>234</v>
      </c>
      <c r="AD27" s="57">
        <f ca="1">IF(AB27&lt;&gt;"",VLOOKUP(AB27,お客様データリスト!$C:$E,3,0),0)</f>
        <v>0</v>
      </c>
      <c r="AE27" s="50"/>
      <c r="AG27" s="54">
        <f>IF(AI27&lt;&gt;"",COUNTA(AI$2:AI27)+AG$1,"")</f>
        <v>517</v>
      </c>
      <c r="AH27" s="49" t="s">
        <v>2802</v>
      </c>
      <c r="AI27" s="49" t="s">
        <v>1655</v>
      </c>
      <c r="AJ27" s="50">
        <f>IF(AI27&lt;&gt;"",MATCH(AI27,お客様データリスト!$A$2:$MV$2,0),"")</f>
        <v>300</v>
      </c>
      <c r="AK27" s="57">
        <f ca="1">IF(AI27&lt;&gt;"",VLOOKUP(AI27,お客様データリスト!$C:$E,3,0),0)</f>
        <v>1</v>
      </c>
      <c r="AL27" s="50"/>
    </row>
    <row r="28" spans="2:38">
      <c r="B28" s="50"/>
      <c r="E28" s="54">
        <f>IF(G28&lt;&gt;"",COUNTA(G$2:G28)+E$1,"")</f>
        <v>119</v>
      </c>
      <c r="F28" s="49" t="s">
        <v>2658</v>
      </c>
      <c r="G28" s="49" t="s">
        <v>1480</v>
      </c>
      <c r="H28" s="50">
        <f>IF(G28&lt;&gt;"",MATCH(G28,お客様データリスト!$A$2:$MV$2,0),"")</f>
        <v>38</v>
      </c>
      <c r="I28" s="57">
        <f ca="1">IF(G28&lt;&gt;"",VLOOKUP(G28,お客様データリスト!$C:$E,3,0),0)</f>
        <v>0</v>
      </c>
      <c r="J28" s="50"/>
      <c r="L28" s="54">
        <f>IF(N28&lt;&gt;"",COUNTA(N$2:N28)+L$1,"")</f>
        <v>215</v>
      </c>
      <c r="M28" s="49" t="s">
        <v>2640</v>
      </c>
      <c r="N28" s="49" t="s">
        <v>1506</v>
      </c>
      <c r="O28" s="50">
        <f>IF(N28&lt;&gt;"",MATCH(N28,お客様データリスト!$A$2:$MV$2,0),"")</f>
        <v>72</v>
      </c>
      <c r="P28" s="57">
        <f ca="1">IF(N28&lt;&gt;"",VLOOKUP(N28,お客様データリスト!$C:$E,3,0),0)</f>
        <v>1</v>
      </c>
      <c r="Q28" s="50"/>
      <c r="S28" s="54">
        <f>IF(U28&lt;&gt;"",COUNTA(U$2:U28)+S$1,"")</f>
        <v>319</v>
      </c>
      <c r="T28" s="49" t="s">
        <v>2716</v>
      </c>
      <c r="U28" s="49" t="s">
        <v>1562</v>
      </c>
      <c r="V28" s="50">
        <f>IF(U28&lt;&gt;"",MATCH(U28,お客様データリスト!$A$2:$MV$2,0),"")</f>
        <v>160</v>
      </c>
      <c r="W28" s="57">
        <f ca="1">IF(U28&lt;&gt;"",VLOOKUP(U28,お客様データリスト!$C:$E,3,0),0)</f>
        <v>3</v>
      </c>
      <c r="X28" s="50"/>
      <c r="Z28" s="52" t="str">
        <f>IF(AB28&lt;&gt;"",COUNTA(AB$2:AB28)+Z$1,"")</f>
        <v/>
      </c>
      <c r="AA28" s="45" t="s">
        <v>2761</v>
      </c>
      <c r="AB28" s="45"/>
      <c r="AC28" s="46" t="str">
        <f>IF(AB28&lt;&gt;"",MATCH(AB28,お客様データリスト!$A$2:$MV$2,0),"")</f>
        <v/>
      </c>
      <c r="AD28" s="58">
        <f>IF(AB28&lt;&gt;"",VLOOKUP(AB28,お客様データリスト!$C:$E,3,0),0)</f>
        <v>0</v>
      </c>
      <c r="AE28" s="59"/>
      <c r="AG28" s="54">
        <f>IF(AI28&lt;&gt;"",COUNTA(AI$2:AI28)+AG$1,"")</f>
        <v>518</v>
      </c>
      <c r="AH28" s="49" t="s">
        <v>2803</v>
      </c>
      <c r="AI28" s="49" t="s">
        <v>1656</v>
      </c>
      <c r="AJ28" s="50">
        <f>IF(AI28&lt;&gt;"",MATCH(AI28,お客様データリスト!$A$2:$MV$2,0),"")</f>
        <v>302</v>
      </c>
      <c r="AK28" s="57">
        <f ca="1">IF(AI28&lt;&gt;"",VLOOKUP(AI28,お客様データリスト!$C:$E,3,0),0)</f>
        <v>1</v>
      </c>
      <c r="AL28" s="50"/>
    </row>
    <row r="29" spans="2:38">
      <c r="B29" s="50"/>
      <c r="E29" s="52" t="str">
        <f>IF(G29&lt;&gt;"",COUNTA(G$2:G29)+E$1,"")</f>
        <v/>
      </c>
      <c r="F29" s="45" t="s">
        <v>2659</v>
      </c>
      <c r="G29" s="45"/>
      <c r="H29" s="46" t="str">
        <f>IF(G29&lt;&gt;"",MATCH(G29,お客様データリスト!$A$2:$MV$2,0),"")</f>
        <v/>
      </c>
      <c r="I29" s="55">
        <f>IF(G29&lt;&gt;"",VLOOKUP(G29,お客様データリスト!$C:$E,3,0),0)</f>
        <v>0</v>
      </c>
      <c r="J29" s="46"/>
      <c r="L29" s="54">
        <f>IF(N29&lt;&gt;"",COUNTA(N$2:N29)+L$1,"")</f>
        <v>216</v>
      </c>
      <c r="M29" s="49" t="s">
        <v>2681</v>
      </c>
      <c r="N29" s="49" t="s">
        <v>1507</v>
      </c>
      <c r="O29" s="50">
        <f>IF(N29&lt;&gt;"",MATCH(N29,お客様データリスト!$A$2:$MV$2,0),"")</f>
        <v>74</v>
      </c>
      <c r="P29" s="57">
        <f ca="1">IF(N29&lt;&gt;"",VLOOKUP(N29,お客様データリスト!$C:$E,3,0),0)</f>
        <v>2</v>
      </c>
      <c r="Q29" s="50"/>
      <c r="S29" s="53" t="str">
        <f>IF(U29&lt;&gt;"",COUNTA(U$2:U29)+S$1,"")</f>
        <v/>
      </c>
      <c r="T29" s="47" t="s">
        <v>2717</v>
      </c>
      <c r="U29" s="47"/>
      <c r="V29" s="48" t="str">
        <f>IF(U29&lt;&gt;"",MATCH(U29,お客様データリスト!$A$2:$MV$2,0),"")</f>
        <v/>
      </c>
      <c r="W29" s="56">
        <f>IF(U29&lt;&gt;"",VLOOKUP(U29,お客様データリスト!$C:$E,3,0),0)</f>
        <v>0</v>
      </c>
      <c r="X29" s="48"/>
      <c r="Z29" s="54">
        <f>IF(AB29&lt;&gt;"",COUNTA(AB$2:AB29)+Z$1,"")</f>
        <v>421</v>
      </c>
      <c r="AA29" s="49" t="s">
        <v>2754</v>
      </c>
      <c r="AB29" s="49" t="s">
        <v>1615</v>
      </c>
      <c r="AC29" s="50">
        <f>IF(AB29&lt;&gt;"",MATCH(AB29,お客様データリスト!$A$2:$MV$2,0),"")</f>
        <v>236</v>
      </c>
      <c r="AD29" s="57">
        <f ca="1">IF(AB29&lt;&gt;"",VLOOKUP(AB29,お客様データリスト!$C:$E,3,0),0)</f>
        <v>1</v>
      </c>
      <c r="AE29" s="50"/>
      <c r="AG29" s="54">
        <f>IF(AI29&lt;&gt;"",COUNTA(AI$2:AI29)+AG$1,"")</f>
        <v>519</v>
      </c>
      <c r="AH29" s="49" t="s">
        <v>2804</v>
      </c>
      <c r="AI29" s="49" t="s">
        <v>1657</v>
      </c>
      <c r="AJ29" s="50">
        <f>IF(AI29&lt;&gt;"",MATCH(AI29,お客様データリスト!$A$2:$MV$2,0),"")</f>
        <v>304</v>
      </c>
      <c r="AK29" s="57">
        <f ca="1">IF(AI29&lt;&gt;"",VLOOKUP(AI29,お客様データリスト!$C:$E,3,0),0)</f>
        <v>1</v>
      </c>
      <c r="AL29" s="50"/>
    </row>
    <row r="30" spans="2:38">
      <c r="B30" s="50"/>
      <c r="E30" s="53" t="str">
        <f>IF(G30&lt;&gt;"",COUNTA(G$2:G30)+E$1,"")</f>
        <v/>
      </c>
      <c r="F30" s="47" t="s">
        <v>2660</v>
      </c>
      <c r="G30" s="47"/>
      <c r="H30" s="48" t="str">
        <f>IF(G30&lt;&gt;"",MATCH(G30,お客様データリスト!$A$2:$MV$2,0),"")</f>
        <v/>
      </c>
      <c r="I30" s="56">
        <f>IF(G30&lt;&gt;"",VLOOKUP(G30,お客様データリスト!$C:$E,3,0),0)</f>
        <v>0</v>
      </c>
      <c r="J30" s="48"/>
      <c r="L30" s="54">
        <f>IF(N30&lt;&gt;"",COUNTA(N$2:N30)+L$1,"")</f>
        <v>217</v>
      </c>
      <c r="M30" s="49" t="s">
        <v>2682</v>
      </c>
      <c r="N30" s="49" t="s">
        <v>1508</v>
      </c>
      <c r="O30" s="50">
        <f>IF(N30&lt;&gt;"",MATCH(N30,お客様データリスト!$A$2:$MV$2,0),"")</f>
        <v>76</v>
      </c>
      <c r="P30" s="57">
        <f ca="1">IF(N30&lt;&gt;"",VLOOKUP(N30,お客様データリスト!$C:$E,3,0),0)</f>
        <v>2</v>
      </c>
      <c r="Q30" s="50"/>
      <c r="S30" s="54">
        <f>IF(U30&lt;&gt;"",COUNTA(U$2:U30)+S$1,"")</f>
        <v>320</v>
      </c>
      <c r="T30" s="49" t="s">
        <v>2718</v>
      </c>
      <c r="U30" s="49" t="s">
        <v>1563</v>
      </c>
      <c r="V30" s="50">
        <f>IF(U30&lt;&gt;"",MATCH(U30,お客様データリスト!$A$2:$MV$2,0),"")</f>
        <v>162</v>
      </c>
      <c r="W30" s="57">
        <f ca="1">IF(U30&lt;&gt;"",VLOOKUP(U30,お客様データリスト!$C:$E,3,0),0)</f>
        <v>0</v>
      </c>
      <c r="X30" s="50"/>
      <c r="Z30" s="54">
        <f>IF(AB30&lt;&gt;"",COUNTA(AB$2:AB30)+Z$1,"")</f>
        <v>422</v>
      </c>
      <c r="AA30" s="49" t="s">
        <v>2755</v>
      </c>
      <c r="AB30" s="49" t="s">
        <v>1616</v>
      </c>
      <c r="AC30" s="50">
        <f>IF(AB30&lt;&gt;"",MATCH(AB30,お客様データリスト!$A$2:$MV$2,0),"")</f>
        <v>238</v>
      </c>
      <c r="AD30" s="57">
        <f ca="1">IF(AB30&lt;&gt;"",VLOOKUP(AB30,お客様データリスト!$C:$E,3,0),0)</f>
        <v>3</v>
      </c>
      <c r="AE30" s="50"/>
      <c r="AG30" s="54">
        <f>IF(AI30&lt;&gt;"",COUNTA(AI$2:AI30)+AG$1,"")</f>
        <v>520</v>
      </c>
      <c r="AH30" s="49" t="s">
        <v>2805</v>
      </c>
      <c r="AI30" s="49" t="s">
        <v>1658</v>
      </c>
      <c r="AJ30" s="50">
        <f>IF(AI30&lt;&gt;"",MATCH(AI30,お客様データリスト!$A$2:$MV$2,0),"")</f>
        <v>306</v>
      </c>
      <c r="AK30" s="57">
        <f ca="1">IF(AI30&lt;&gt;"",VLOOKUP(AI30,お客様データリスト!$C:$E,3,0),0)</f>
        <v>1</v>
      </c>
      <c r="AL30" s="50"/>
    </row>
    <row r="31" spans="2:38">
      <c r="B31" s="50"/>
      <c r="E31" s="54">
        <f>IF(G31&lt;&gt;"",COUNTA(G$2:G31)+E$1,"")</f>
        <v>120</v>
      </c>
      <c r="F31" s="49" t="s">
        <v>2661</v>
      </c>
      <c r="G31" s="49" t="s">
        <v>1483</v>
      </c>
      <c r="H31" s="50">
        <f>IF(G31&lt;&gt;"",MATCH(G31,お客様データリスト!$A$2:$MV$2,0),"")</f>
        <v>40</v>
      </c>
      <c r="I31" s="57">
        <f ca="1">IF(G31&lt;&gt;"",VLOOKUP(G31,お客様データリスト!$C:$E,3,0),0)</f>
        <v>0</v>
      </c>
      <c r="J31" s="50"/>
      <c r="L31" s="54">
        <f>IF(N31&lt;&gt;"",COUNTA(N$2:N31)+L$1,"")</f>
        <v>218</v>
      </c>
      <c r="M31" s="49" t="s">
        <v>2683</v>
      </c>
      <c r="N31" s="49" t="s">
        <v>1509</v>
      </c>
      <c r="O31" s="50">
        <f>IF(N31&lt;&gt;"",MATCH(N31,お客様データリスト!$A$2:$MV$2,0),"")</f>
        <v>78</v>
      </c>
      <c r="P31" s="57">
        <f ca="1">IF(N31&lt;&gt;"",VLOOKUP(N31,お客様データリスト!$C:$E,3,0),0)</f>
        <v>1</v>
      </c>
      <c r="Q31" s="50"/>
      <c r="S31" s="53" t="str">
        <f>IF(U31&lt;&gt;"",COUNTA(U$2:U31)+S$1,"")</f>
        <v/>
      </c>
      <c r="T31" s="47" t="s">
        <v>2719</v>
      </c>
      <c r="U31" s="47"/>
      <c r="V31" s="48" t="str">
        <f>IF(U31&lt;&gt;"",MATCH(U31,お客様データリスト!$A$2:$MV$2,0),"")</f>
        <v/>
      </c>
      <c r="W31" s="56">
        <f>IF(U31&lt;&gt;"",VLOOKUP(U31,お客様データリスト!$C:$E,3,0),0)</f>
        <v>0</v>
      </c>
      <c r="X31" s="48"/>
      <c r="Z31" s="54">
        <f>IF(AB31&lt;&gt;"",COUNTA(AB$2:AB31)+Z$1,"")</f>
        <v>423</v>
      </c>
      <c r="AA31" s="49" t="s">
        <v>2762</v>
      </c>
      <c r="AB31" s="49" t="s">
        <v>1617</v>
      </c>
      <c r="AC31" s="50">
        <f>IF(AB31&lt;&gt;"",MATCH(AB31,お客様データリスト!$A$2:$MV$2,0),"")</f>
        <v>240</v>
      </c>
      <c r="AD31" s="57">
        <f ca="1">IF(AB31&lt;&gt;"",VLOOKUP(AB31,お客様データリスト!$C:$E,3,0),0)</f>
        <v>1</v>
      </c>
      <c r="AE31" s="50"/>
      <c r="AG31" s="54">
        <f>IF(AI31&lt;&gt;"",COUNTA(AI$2:AI31)+AG$1,"")</f>
        <v>521</v>
      </c>
      <c r="AH31" s="49" t="s">
        <v>2806</v>
      </c>
      <c r="AI31" s="49" t="s">
        <v>1660</v>
      </c>
      <c r="AJ31" s="50">
        <f>IF(AI31&lt;&gt;"",MATCH(AI31,お客様データリスト!$A$2:$MV$2,0),"")</f>
        <v>310</v>
      </c>
      <c r="AK31" s="57">
        <f ca="1">IF(AI31&lt;&gt;"",VLOOKUP(AI31,お客様データリスト!$C:$E,3,0),0)</f>
        <v>0</v>
      </c>
      <c r="AL31" s="50"/>
    </row>
    <row r="32" spans="2:38">
      <c r="B32" s="50"/>
      <c r="E32" s="54">
        <f>IF(G32&lt;&gt;"",COUNTA(G$2:G32)+E$1,"")</f>
        <v>121</v>
      </c>
      <c r="F32" s="49" t="s">
        <v>2639</v>
      </c>
      <c r="G32" s="49" t="s">
        <v>1484</v>
      </c>
      <c r="H32" s="50">
        <f>IF(G32&lt;&gt;"",MATCH(G32,お客様データリスト!$A$2:$MV$2,0),"")</f>
        <v>42</v>
      </c>
      <c r="I32" s="57">
        <f ca="1">IF(G32&lt;&gt;"",VLOOKUP(G32,お客様データリスト!$C:$E,3,0),0)</f>
        <v>0</v>
      </c>
      <c r="J32" s="50"/>
      <c r="L32" s="54">
        <f>IF(N32&lt;&gt;"",COUNTA(N$2:N32)+L$1,"")</f>
        <v>219</v>
      </c>
      <c r="M32" s="49" t="s">
        <v>2684</v>
      </c>
      <c r="N32" s="49" t="s">
        <v>1510</v>
      </c>
      <c r="O32" s="50">
        <f>IF(N32&lt;&gt;"",MATCH(N32,お客様データリスト!$A$2:$MV$2,0),"")</f>
        <v>80</v>
      </c>
      <c r="P32" s="57">
        <f ca="1">IF(N32&lt;&gt;"",VLOOKUP(N32,お客様データリスト!$C:$E,3,0),0)</f>
        <v>0</v>
      </c>
      <c r="Q32" s="50"/>
      <c r="S32" s="54">
        <f>IF(U32&lt;&gt;"",COUNTA(U$2:U32)+S$1,"")</f>
        <v>321</v>
      </c>
      <c r="T32" s="49" t="s">
        <v>2720</v>
      </c>
      <c r="U32" s="49" t="s">
        <v>1564</v>
      </c>
      <c r="V32" s="50">
        <f>IF(U32&lt;&gt;"",MATCH(U32,お客様データリスト!$A$2:$MV$2,0),"")</f>
        <v>164</v>
      </c>
      <c r="W32" s="57">
        <f ca="1">IF(U32&lt;&gt;"",VLOOKUP(U32,お客様データリスト!$C:$E,3,0),0)</f>
        <v>2</v>
      </c>
      <c r="X32" s="50"/>
      <c r="Z32" s="54">
        <f>IF(AB32&lt;&gt;"",COUNTA(AB$2:AB32)+Z$1,"")</f>
        <v>424</v>
      </c>
      <c r="AA32" s="49" t="s">
        <v>2757</v>
      </c>
      <c r="AB32" s="49" t="s">
        <v>1618</v>
      </c>
      <c r="AC32" s="50">
        <f>IF(AB32&lt;&gt;"",MATCH(AB32,お客様データリスト!$A$2:$MV$2,0),"")</f>
        <v>242</v>
      </c>
      <c r="AD32" s="57">
        <f ca="1">IF(AB32&lt;&gt;"",VLOOKUP(AB32,お客様データリスト!$C:$E,3,0),0)</f>
        <v>1</v>
      </c>
      <c r="AE32" s="50"/>
      <c r="AG32" s="54">
        <f>IF(AI32&lt;&gt;"",COUNTA(AI$2:AI32)+AG$1,"")</f>
        <v>522</v>
      </c>
      <c r="AH32" s="49" t="s">
        <v>2807</v>
      </c>
      <c r="AI32" s="49" t="s">
        <v>1661</v>
      </c>
      <c r="AJ32" s="50">
        <f>IF(AI32&lt;&gt;"",MATCH(AI32,お客様データリスト!$A$2:$MV$2,0),"")</f>
        <v>312</v>
      </c>
      <c r="AK32" s="57">
        <f ca="1">IF(AI32&lt;&gt;"",VLOOKUP(AI32,お客様データリスト!$C:$E,3,0),0)</f>
        <v>2</v>
      </c>
      <c r="AL32" s="50"/>
    </row>
    <row r="33" spans="2:38">
      <c r="B33" s="50"/>
      <c r="E33" s="54" t="str">
        <f>IF(G33&lt;&gt;"",COUNTA(G$2:G33)+E$1,"")</f>
        <v/>
      </c>
      <c r="F33" s="49"/>
      <c r="G33" s="49"/>
      <c r="H33" s="50" t="str">
        <f>IF(G33&lt;&gt;"",MATCH(G33,お客様データリスト!$A$2:$MV$2,0),"")</f>
        <v/>
      </c>
      <c r="I33" s="57">
        <f>IF(G33&lt;&gt;"",VLOOKUP(G33,お客様データリスト!$C:$E,3,0),0)</f>
        <v>0</v>
      </c>
      <c r="J33" s="50"/>
      <c r="L33" s="54">
        <f>IF(N33&lt;&gt;"",COUNTA(N$2:N33)+L$1,"")</f>
        <v>220</v>
      </c>
      <c r="M33" s="49" t="s">
        <v>2685</v>
      </c>
      <c r="N33" s="49" t="s">
        <v>1511</v>
      </c>
      <c r="O33" s="50">
        <f>IF(N33&lt;&gt;"",MATCH(N33,お客様データリスト!$A$2:$MV$2,0),"")</f>
        <v>82</v>
      </c>
      <c r="P33" s="57">
        <f ca="1">IF(N33&lt;&gt;"",VLOOKUP(N33,お客様データリスト!$C:$E,3,0),0)</f>
        <v>1</v>
      </c>
      <c r="Q33" s="50"/>
      <c r="S33" s="52" t="str">
        <f>IF(U33&lt;&gt;"",COUNTA(U$2:U33)+S$1,"")</f>
        <v/>
      </c>
      <c r="T33" s="45" t="s">
        <v>2721</v>
      </c>
      <c r="U33" s="45"/>
      <c r="V33" s="46" t="str">
        <f>IF(U33&lt;&gt;"",MATCH(U33,お客様データリスト!$A$2:$MV$2,0),"")</f>
        <v/>
      </c>
      <c r="W33" s="58">
        <f>IF(U33&lt;&gt;"",VLOOKUP(U33,お客様データリスト!$C:$E,3,0),0)</f>
        <v>0</v>
      </c>
      <c r="X33" s="59"/>
      <c r="Z33" s="52" t="str">
        <f>IF(AB33&lt;&gt;"",COUNTA(AB$2:AB33)+Z$1,"")</f>
        <v/>
      </c>
      <c r="AA33" s="45" t="s">
        <v>2763</v>
      </c>
      <c r="AB33" s="45"/>
      <c r="AC33" s="46" t="str">
        <f>IF(AB33&lt;&gt;"",MATCH(AB33,お客様データリスト!$A$2:$MV$2,0),"")</f>
        <v/>
      </c>
      <c r="AD33" s="58">
        <f>IF(AB33&lt;&gt;"",VLOOKUP(AB33,お客様データリスト!$C:$E,3,0),0)</f>
        <v>0</v>
      </c>
      <c r="AE33" s="59"/>
      <c r="AG33" s="52" t="str">
        <f>IF(AI33&lt;&gt;"",COUNTA(AI$2:AI33)+AG$1,"")</f>
        <v/>
      </c>
      <c r="AH33" s="45" t="s">
        <v>2808</v>
      </c>
      <c r="AI33" s="45"/>
      <c r="AJ33" s="46" t="str">
        <f>IF(AI33&lt;&gt;"",MATCH(AI33,お客様データリスト!$A$2:$MV$2,0),"")</f>
        <v/>
      </c>
      <c r="AK33" s="58">
        <f>IF(AI33&lt;&gt;"",VLOOKUP(AI33,お客様データリスト!$C:$E,3,0),0)</f>
        <v>0</v>
      </c>
      <c r="AL33" s="59"/>
    </row>
    <row r="34" spans="2:38">
      <c r="B34" s="50"/>
      <c r="E34" s="54" t="str">
        <f>IF(G34&lt;&gt;"",COUNTA(G$2:G34)+E$1,"")</f>
        <v/>
      </c>
      <c r="F34" s="49"/>
      <c r="G34" s="49"/>
      <c r="H34" s="50" t="str">
        <f>IF(G34&lt;&gt;"",MATCH(G34,お客様データリスト!$A$2:$MV$2,0),"")</f>
        <v/>
      </c>
      <c r="I34" s="57">
        <f>IF(G34&lt;&gt;"",VLOOKUP(G34,お客様データリスト!$C:$E,3,0),0)</f>
        <v>0</v>
      </c>
      <c r="J34" s="50"/>
      <c r="L34" s="54">
        <f>IF(N34&lt;&gt;"",COUNTA(N$2:N34)+L$1,"")</f>
        <v>221</v>
      </c>
      <c r="M34" s="49" t="s">
        <v>2686</v>
      </c>
      <c r="N34" s="49" t="s">
        <v>1512</v>
      </c>
      <c r="O34" s="50">
        <f>IF(N34&lt;&gt;"",MATCH(N34,お客様データリスト!$A$2:$MV$2,0),"")</f>
        <v>84</v>
      </c>
      <c r="P34" s="57">
        <f ca="1">IF(N34&lt;&gt;"",VLOOKUP(N34,お客様データリスト!$C:$E,3,0),0)</f>
        <v>1</v>
      </c>
      <c r="Q34" s="50"/>
      <c r="S34" s="53" t="str">
        <f>IF(U34&lt;&gt;"",COUNTA(U$2:U34)+S$1,"")</f>
        <v/>
      </c>
      <c r="T34" s="47" t="s">
        <v>2722</v>
      </c>
      <c r="U34" s="47"/>
      <c r="V34" s="48" t="str">
        <f>IF(U34&lt;&gt;"",MATCH(U34,お客様データリスト!$A$2:$MV$2,0),"")</f>
        <v/>
      </c>
      <c r="W34" s="56">
        <f>IF(U34&lt;&gt;"",VLOOKUP(U34,お客様データリスト!$C:$E,3,0),0)</f>
        <v>0</v>
      </c>
      <c r="X34" s="48"/>
      <c r="Z34" s="53" t="str">
        <f>IF(AB34&lt;&gt;"",COUNTA(AB$2:AB34)+Z$1,"")</f>
        <v/>
      </c>
      <c r="AA34" s="47" t="s">
        <v>2764</v>
      </c>
      <c r="AB34" s="47"/>
      <c r="AC34" s="48" t="str">
        <f>IF(AB34&lt;&gt;"",MATCH(AB34,お客様データリスト!$A$2:$MV$2,0),"")</f>
        <v/>
      </c>
      <c r="AD34" s="56">
        <f>IF(AB34&lt;&gt;"",VLOOKUP(AB34,お客様データリスト!$C:$E,3,0),0)</f>
        <v>0</v>
      </c>
      <c r="AE34" s="48"/>
      <c r="AG34" s="53" t="str">
        <f>IF(AI34&lt;&gt;"",COUNTA(AI$2:AI34)+AG$1,"")</f>
        <v/>
      </c>
      <c r="AH34" s="47" t="s">
        <v>2809</v>
      </c>
      <c r="AI34" s="47"/>
      <c r="AJ34" s="48" t="str">
        <f>IF(AI34&lt;&gt;"",MATCH(AI34,お客様データリスト!$A$2:$MV$2,0),"")</f>
        <v/>
      </c>
      <c r="AK34" s="56">
        <f>IF(AI34&lt;&gt;"",VLOOKUP(AI34,お客様データリスト!$C:$E,3,0),0)</f>
        <v>0</v>
      </c>
      <c r="AL34" s="48"/>
    </row>
    <row r="35" spans="2:38">
      <c r="B35" s="50"/>
      <c r="E35" s="54" t="str">
        <f>IF(G35&lt;&gt;"",COUNTA(G$2:G35)+E$1,"")</f>
        <v/>
      </c>
      <c r="F35" s="49"/>
      <c r="G35" s="49"/>
      <c r="H35" s="50" t="str">
        <f>IF(G35&lt;&gt;"",MATCH(G35,お客様データリスト!$A$2:$MV$2,0),"")</f>
        <v/>
      </c>
      <c r="I35" s="57">
        <f>IF(G35&lt;&gt;"",VLOOKUP(G35,お客様データリスト!$C:$E,3,0),0)</f>
        <v>0</v>
      </c>
      <c r="J35" s="50"/>
      <c r="L35" s="53" t="str">
        <f>IF(N35&lt;&gt;"",COUNTA(N$2:N35)+L$1,"")</f>
        <v/>
      </c>
      <c r="M35" s="47" t="s">
        <v>2687</v>
      </c>
      <c r="N35" s="47"/>
      <c r="O35" s="48" t="str">
        <f>IF(N35&lt;&gt;"",MATCH(N35,お客様データリスト!$A$2:$MV$2,0),"")</f>
        <v/>
      </c>
      <c r="P35" s="56">
        <f>IF(N35&lt;&gt;"",VLOOKUP(N35,お客様データリスト!$C:$E,3,0),0)</f>
        <v>0</v>
      </c>
      <c r="Q35" s="48"/>
      <c r="S35" s="54">
        <f>IF(U35&lt;&gt;"",COUNTA(U$2:U35)+S$1,"")</f>
        <v>322</v>
      </c>
      <c r="T35" s="49" t="s">
        <v>757</v>
      </c>
      <c r="U35" s="49" t="s">
        <v>1568</v>
      </c>
      <c r="V35" s="50">
        <f>IF(U35&lt;&gt;"",MATCH(U35,お客様データリスト!$A$2:$MV$2,0),"")</f>
        <v>166</v>
      </c>
      <c r="W35" s="57">
        <f ca="1">IF(U35&lt;&gt;"",VLOOKUP(U35,お客様データリスト!$C:$E,3,0),0)</f>
        <v>0</v>
      </c>
      <c r="X35" s="50"/>
      <c r="Z35" s="54">
        <f>IF(AB35&lt;&gt;"",COUNTA(AB$2:AB35)+Z$1,"")</f>
        <v>425</v>
      </c>
      <c r="AA35" s="49" t="s">
        <v>2765</v>
      </c>
      <c r="AB35" s="49" t="s">
        <v>1622</v>
      </c>
      <c r="AC35" s="50">
        <f>IF(AB35&lt;&gt;"",MATCH(AB35,お客様データリスト!$A$2:$MV$2,0),"")</f>
        <v>244</v>
      </c>
      <c r="AD35" s="57">
        <f ca="1">IF(AB35&lt;&gt;"",VLOOKUP(AB35,お客様データリスト!$C:$E,3,0),0)</f>
        <v>6</v>
      </c>
      <c r="AE35" s="50">
        <v>1</v>
      </c>
      <c r="AG35" s="54">
        <f>IF(AI35&lt;&gt;"",COUNTA(AI$2:AI35)+AG$1,"")</f>
        <v>523</v>
      </c>
      <c r="AH35" s="49" t="s">
        <v>2810</v>
      </c>
      <c r="AI35" s="49" t="s">
        <v>1444</v>
      </c>
      <c r="AJ35" s="50">
        <f>IF(AI35&lt;&gt;"",MATCH(AI35,お客様データリスト!$A$2:$MV$2,0),"")</f>
        <v>328</v>
      </c>
      <c r="AK35" s="57">
        <f ca="1">IF(AI35&lt;&gt;"",VLOOKUP(AI35,お客様データリスト!$C:$E,3,0),0)</f>
        <v>0</v>
      </c>
      <c r="AL35" s="50"/>
    </row>
    <row r="36" spans="2:38">
      <c r="B36" s="50"/>
      <c r="E36" s="54" t="str">
        <f>IF(G36&lt;&gt;"",COUNTA(G$2:G36)+E$1,"")</f>
        <v/>
      </c>
      <c r="F36" s="49"/>
      <c r="G36" s="49"/>
      <c r="H36" s="50" t="str">
        <f>IF(G36&lt;&gt;"",MATCH(G36,お客様データリスト!$A$2:$MV$2,0),"")</f>
        <v/>
      </c>
      <c r="I36" s="57">
        <f>IF(G36&lt;&gt;"",VLOOKUP(G36,お客様データリスト!$C:$E,3,0),0)</f>
        <v>0</v>
      </c>
      <c r="J36" s="50"/>
      <c r="L36" s="54">
        <f>IF(N36&lt;&gt;"",COUNTA(N$2:N36)+L$1,"")</f>
        <v>222</v>
      </c>
      <c r="M36" s="49" t="s">
        <v>2688</v>
      </c>
      <c r="N36" s="49" t="s">
        <v>1515</v>
      </c>
      <c r="O36" s="50">
        <f>IF(N36&lt;&gt;"",MATCH(N36,お客様データリスト!$A$2:$MV$2,0),"")</f>
        <v>86</v>
      </c>
      <c r="P36" s="57">
        <f ca="1">IF(N36&lt;&gt;"",VLOOKUP(N36,お客様データリスト!$C:$E,3,0),0)</f>
        <v>2</v>
      </c>
      <c r="Q36" s="50"/>
      <c r="S36" s="54">
        <f>IF(U36&lt;&gt;"",COUNTA(U$2:U36)+S$1,"")</f>
        <v>323</v>
      </c>
      <c r="T36" s="49" t="s">
        <v>765</v>
      </c>
      <c r="U36" s="49" t="s">
        <v>1569</v>
      </c>
      <c r="V36" s="50">
        <f>IF(U36&lt;&gt;"",MATCH(U36,お客様データリスト!$A$2:$MV$2,0),"")</f>
        <v>168</v>
      </c>
      <c r="W36" s="57">
        <f ca="1">IF(U36&lt;&gt;"",VLOOKUP(U36,お客様データリスト!$C:$E,3,0),0)</f>
        <v>0</v>
      </c>
      <c r="X36" s="50"/>
      <c r="Z36" s="54">
        <f>IF(AB36&lt;&gt;"",COUNTA(AB$2:AB36)+Z$1,"")</f>
        <v>426</v>
      </c>
      <c r="AA36" s="49" t="s">
        <v>2766</v>
      </c>
      <c r="AB36" s="49" t="s">
        <v>1623</v>
      </c>
      <c r="AC36" s="50">
        <f>IF(AB36&lt;&gt;"",MATCH(AB36,お客様データリスト!$A$2:$MV$2,0),"")</f>
        <v>246</v>
      </c>
      <c r="AD36" s="57">
        <f ca="1">IF(AB36&lt;&gt;"",VLOOKUP(AB36,お客様データリスト!$C:$E,3,0),0)</f>
        <v>6</v>
      </c>
      <c r="AE36" s="50"/>
      <c r="AG36" s="54">
        <f>IF(AI36&lt;&gt;"",COUNTA(AI$2:AI36)+AG$1,"")</f>
        <v>524</v>
      </c>
      <c r="AH36" s="49" t="s">
        <v>2811</v>
      </c>
      <c r="AI36" s="49" t="s">
        <v>1445</v>
      </c>
      <c r="AJ36" s="50">
        <f>IF(AI36&lt;&gt;"",MATCH(AI36,お客様データリスト!$A$2:$MV$2,0),"")</f>
        <v>330</v>
      </c>
      <c r="AK36" s="57">
        <f ca="1">IF(AI36&lt;&gt;"",VLOOKUP(AI36,お客様データリスト!$C:$E,3,0),0)</f>
        <v>1</v>
      </c>
      <c r="AL36" s="50"/>
    </row>
    <row r="37" spans="2:38">
      <c r="B37" s="50"/>
      <c r="E37" s="54" t="str">
        <f>IF(G37&lt;&gt;"",COUNTA(G$2:G37)+E$1,"")</f>
        <v/>
      </c>
      <c r="F37" s="49"/>
      <c r="G37" s="49"/>
      <c r="H37" s="50" t="str">
        <f>IF(G37&lt;&gt;"",MATCH(G37,お客様データリスト!$A$2:$MV$2,0),"")</f>
        <v/>
      </c>
      <c r="I37" s="57">
        <f>IF(G37&lt;&gt;"",VLOOKUP(G37,お客様データリスト!$C:$E,3,0),0)</f>
        <v>0</v>
      </c>
      <c r="J37" s="50"/>
      <c r="L37" s="54">
        <f>IF(N37&lt;&gt;"",COUNTA(N$2:N37)+L$1,"")</f>
        <v>223</v>
      </c>
      <c r="M37" s="49" t="s">
        <v>2689</v>
      </c>
      <c r="N37" s="49" t="s">
        <v>1516</v>
      </c>
      <c r="O37" s="50">
        <f>IF(N37&lt;&gt;"",MATCH(N37,お客様データリスト!$A$2:$MV$2,0),"")</f>
        <v>88</v>
      </c>
      <c r="P37" s="57">
        <f ca="1">IF(N37&lt;&gt;"",VLOOKUP(N37,お客様データリスト!$C:$E,3,0),0)</f>
        <v>11</v>
      </c>
      <c r="Q37" s="50"/>
      <c r="S37" s="54">
        <f>IF(U37&lt;&gt;"",COUNTA(U$2:U37)+S$1,"")</f>
        <v>324</v>
      </c>
      <c r="T37" s="49" t="s">
        <v>773</v>
      </c>
      <c r="U37" s="49" t="s">
        <v>1570</v>
      </c>
      <c r="V37" s="50">
        <f>IF(U37&lt;&gt;"",MATCH(U37,お客様データリスト!$A$2:$MV$2,0),"")</f>
        <v>170</v>
      </c>
      <c r="W37" s="57">
        <f ca="1">IF(U37&lt;&gt;"",VLOOKUP(U37,お客様データリスト!$C:$E,3,0),0)</f>
        <v>0</v>
      </c>
      <c r="X37" s="50"/>
      <c r="Z37" s="54">
        <f>IF(AB37&lt;&gt;"",COUNTA(AB$2:AB37)+Z$1,"")</f>
        <v>427</v>
      </c>
      <c r="AA37" s="49" t="s">
        <v>2767</v>
      </c>
      <c r="AB37" s="49" t="s">
        <v>1624</v>
      </c>
      <c r="AC37" s="50">
        <f>IF(AB37&lt;&gt;"",MATCH(AB37,お客様データリスト!$A$2:$MV$2,0),"")</f>
        <v>248</v>
      </c>
      <c r="AD37" s="57">
        <f ca="1">IF(AB37&lt;&gt;"",VLOOKUP(AB37,お客様データリスト!$C:$E,3,0),0)</f>
        <v>5</v>
      </c>
      <c r="AE37" s="50"/>
      <c r="AG37" s="54">
        <f>IF(AI37&lt;&gt;"",COUNTA(AI$2:AI37)+AG$1,"")</f>
        <v>525</v>
      </c>
      <c r="AH37" s="49" t="s">
        <v>2812</v>
      </c>
      <c r="AI37" s="49" t="s">
        <v>1446</v>
      </c>
      <c r="AJ37" s="50">
        <f>IF(AI37&lt;&gt;"",MATCH(AI37,お客様データリスト!$A$2:$MV$2,0),"")</f>
        <v>332</v>
      </c>
      <c r="AK37" s="57">
        <f ca="1">IF(AI37&lt;&gt;"",VLOOKUP(AI37,お客様データリスト!$C:$E,3,0),0)</f>
        <v>1</v>
      </c>
      <c r="AL37" s="50"/>
    </row>
    <row r="38" spans="2:38">
      <c r="B38" s="50"/>
      <c r="E38" s="54" t="str">
        <f>IF(G38&lt;&gt;"",COUNTA(G$2:G38)+E$1,"")</f>
        <v/>
      </c>
      <c r="F38" s="49"/>
      <c r="G38" s="49"/>
      <c r="H38" s="50" t="str">
        <f>IF(G38&lt;&gt;"",MATCH(G38,お客様データリスト!$A$2:$MV$2,0),"")</f>
        <v/>
      </c>
      <c r="I38" s="57">
        <f>IF(G38&lt;&gt;"",VLOOKUP(G38,お客様データリスト!$C:$E,3,0),0)</f>
        <v>0</v>
      </c>
      <c r="J38" s="50"/>
      <c r="L38" s="54">
        <f>IF(N38&lt;&gt;"",COUNTA(N$2:N38)+L$1,"")</f>
        <v>224</v>
      </c>
      <c r="M38" s="49" t="s">
        <v>2690</v>
      </c>
      <c r="N38" s="49" t="s">
        <v>1517</v>
      </c>
      <c r="O38" s="50">
        <f>IF(N38&lt;&gt;"",MATCH(N38,お客様データリスト!$A$2:$MV$2,0),"")</f>
        <v>90</v>
      </c>
      <c r="P38" s="57">
        <f ca="1">IF(N38&lt;&gt;"",VLOOKUP(N38,お客様データリスト!$C:$E,3,0),0)</f>
        <v>2</v>
      </c>
      <c r="Q38" s="50"/>
      <c r="S38" s="53" t="str">
        <f>IF(U38&lt;&gt;"",COUNTA(U$2:U38)+S$1,"")</f>
        <v/>
      </c>
      <c r="T38" s="47" t="s">
        <v>2723</v>
      </c>
      <c r="U38" s="47"/>
      <c r="V38" s="48" t="str">
        <f>IF(U38&lt;&gt;"",MATCH(U38,お客様データリスト!$A$2:$MV$2,0),"")</f>
        <v/>
      </c>
      <c r="W38" s="56">
        <f>IF(U38&lt;&gt;"",VLOOKUP(U38,お客様データリスト!$C:$E,3,0),0)</f>
        <v>0</v>
      </c>
      <c r="X38" s="48"/>
      <c r="Z38" s="54">
        <f>IF(AB38&lt;&gt;"",COUNTA(AB$2:AB38)+Z$1,"")</f>
        <v>428</v>
      </c>
      <c r="AA38" s="49" t="s">
        <v>2768</v>
      </c>
      <c r="AB38" s="49" t="s">
        <v>1625</v>
      </c>
      <c r="AC38" s="50">
        <f>IF(AB38&lt;&gt;"",MATCH(AB38,お客様データリスト!$A$2:$MV$2,0),"")</f>
        <v>250</v>
      </c>
      <c r="AD38" s="57">
        <f ca="1">IF(AB38&lt;&gt;"",VLOOKUP(AB38,お客様データリスト!$C:$E,3,0),0)</f>
        <v>6</v>
      </c>
      <c r="AE38" s="50"/>
      <c r="AG38" s="54">
        <f>IF(AI38&lt;&gt;"",COUNTA(AI$2:AI38)+AG$1,"")</f>
        <v>526</v>
      </c>
      <c r="AH38" s="49" t="s">
        <v>2813</v>
      </c>
      <c r="AI38" s="49" t="s">
        <v>1447</v>
      </c>
      <c r="AJ38" s="50">
        <f>IF(AI38&lt;&gt;"",MATCH(AI38,お客様データリスト!$A$2:$MV$2,0),"")</f>
        <v>334</v>
      </c>
      <c r="AK38" s="57">
        <f ca="1">IF(AI38&lt;&gt;"",VLOOKUP(AI38,お客様データリスト!$C:$E,3,0),0)</f>
        <v>0</v>
      </c>
      <c r="AL38" s="50"/>
    </row>
    <row r="39" spans="2:38">
      <c r="B39" s="50"/>
      <c r="E39" s="54" t="str">
        <f>IF(G39&lt;&gt;"",COUNTA(G$2:G39)+E$1,"")</f>
        <v/>
      </c>
      <c r="F39" s="49"/>
      <c r="G39" s="49"/>
      <c r="H39" s="50" t="str">
        <f>IF(G39&lt;&gt;"",MATCH(G39,お客様データリスト!$A$2:$MV$2,0),"")</f>
        <v/>
      </c>
      <c r="I39" s="57">
        <f>IF(G39&lt;&gt;"",VLOOKUP(G39,お客様データリスト!$C:$E,3,0),0)</f>
        <v>0</v>
      </c>
      <c r="J39" s="50"/>
      <c r="L39" s="53" t="str">
        <f>IF(N39&lt;&gt;"",COUNTA(N$2:N39)+L$1,"")</f>
        <v/>
      </c>
      <c r="M39" s="47" t="s">
        <v>2691</v>
      </c>
      <c r="N39" s="47"/>
      <c r="O39" s="48" t="str">
        <f>IF(N39&lt;&gt;"",MATCH(N39,お客様データリスト!$A$2:$MV$2,0),"")</f>
        <v/>
      </c>
      <c r="P39" s="56">
        <f>IF(N39&lt;&gt;"",VLOOKUP(N39,お客様データリスト!$C:$E,3,0),0)</f>
        <v>0</v>
      </c>
      <c r="Q39" s="48"/>
      <c r="S39" s="54">
        <f>IF(U39&lt;&gt;"",COUNTA(U$2:U39)+S$1,"")</f>
        <v>325</v>
      </c>
      <c r="T39" s="49" t="s">
        <v>2724</v>
      </c>
      <c r="U39" s="49" t="s">
        <v>1571</v>
      </c>
      <c r="V39" s="50">
        <f>IF(U39&lt;&gt;"",MATCH(U39,お客様データリスト!$A$2:$MV$2,0),"")</f>
        <v>172</v>
      </c>
      <c r="W39" s="57">
        <f ca="1">IF(U39&lt;&gt;"",VLOOKUP(U39,お客様データリスト!$C:$E,3,0),0)</f>
        <v>2</v>
      </c>
      <c r="X39" s="50"/>
      <c r="Z39" s="54">
        <f>IF(AB39&lt;&gt;"",COUNTA(AB$2:AB39)+Z$1,"")</f>
        <v>429</v>
      </c>
      <c r="AA39" s="49" t="s">
        <v>2769</v>
      </c>
      <c r="AB39" s="49" t="s">
        <v>1626</v>
      </c>
      <c r="AC39" s="50">
        <f>IF(AB39&lt;&gt;"",MATCH(AB39,お客様データリスト!$A$2:$MV$2,0),"")</f>
        <v>252</v>
      </c>
      <c r="AD39" s="57">
        <f ca="1">IF(AB39&lt;&gt;"",VLOOKUP(AB39,お客様データリスト!$C:$E,3,0),0)</f>
        <v>1</v>
      </c>
      <c r="AE39" s="50"/>
      <c r="AG39" s="54">
        <f>IF(AI39&lt;&gt;"",COUNTA(AI$2:AI39)+AG$1,"")</f>
        <v>527</v>
      </c>
      <c r="AH39" s="49" t="s">
        <v>2814</v>
      </c>
      <c r="AI39" s="49" t="s">
        <v>1448</v>
      </c>
      <c r="AJ39" s="50">
        <f>IF(AI39&lt;&gt;"",MATCH(AI39,お客様データリスト!$A$2:$MV$2,0),"")</f>
        <v>336</v>
      </c>
      <c r="AK39" s="57">
        <f ca="1">IF(AI39&lt;&gt;"",VLOOKUP(AI39,お客様データリスト!$C:$E,3,0),0)</f>
        <v>1</v>
      </c>
      <c r="AL39" s="50"/>
    </row>
    <row r="40" spans="2:38">
      <c r="B40" s="50"/>
      <c r="E40" s="54" t="str">
        <f>IF(G40&lt;&gt;"",COUNTA(G$2:G40)+E$1,"")</f>
        <v/>
      </c>
      <c r="F40" s="49"/>
      <c r="G40" s="49"/>
      <c r="H40" s="50" t="str">
        <f>IF(G40&lt;&gt;"",MATCH(G40,お客様データリスト!$A$2:$MV$2,0),"")</f>
        <v/>
      </c>
      <c r="I40" s="57">
        <f>IF(G40&lt;&gt;"",VLOOKUP(G40,お客様データリスト!$C:$E,3,0),0)</f>
        <v>0</v>
      </c>
      <c r="J40" s="50"/>
      <c r="L40" s="54">
        <f>IF(N40&lt;&gt;"",COUNTA(N$2:N40)+L$1,"")</f>
        <v>225</v>
      </c>
      <c r="M40" s="49" t="s">
        <v>2688</v>
      </c>
      <c r="N40" s="49" t="s">
        <v>1520</v>
      </c>
      <c r="O40" s="50">
        <f>IF(N40&lt;&gt;"",MATCH(N40,お客様データリスト!$A$2:$MV$2,0),"")</f>
        <v>92</v>
      </c>
      <c r="P40" s="57">
        <f ca="1">IF(N40&lt;&gt;"",VLOOKUP(N40,お客様データリスト!$C:$E,3,0),0)</f>
        <v>4</v>
      </c>
      <c r="Q40" s="50"/>
      <c r="S40" s="54">
        <f>IF(U40&lt;&gt;"",COUNTA(U$2:U40)+S$1,"")</f>
        <v>326</v>
      </c>
      <c r="T40" s="49" t="s">
        <v>2725</v>
      </c>
      <c r="U40" s="49" t="s">
        <v>1572</v>
      </c>
      <c r="V40" s="50">
        <f>IF(U40&lt;&gt;"",MATCH(U40,お客様データリスト!$A$2:$MV$2,0),"")</f>
        <v>174</v>
      </c>
      <c r="W40" s="57">
        <f ca="1">IF(U40&lt;&gt;"",VLOOKUP(U40,お客様データリスト!$C:$E,3,0),0)</f>
        <v>1</v>
      </c>
      <c r="X40" s="50"/>
      <c r="Z40" s="54">
        <f>IF(AB40&lt;&gt;"",COUNTA(AB$2:AB40)+Z$1,"")</f>
        <v>430</v>
      </c>
      <c r="AA40" s="49" t="s">
        <v>2770</v>
      </c>
      <c r="AB40" s="49" t="s">
        <v>1627</v>
      </c>
      <c r="AC40" s="50">
        <f>IF(AB40&lt;&gt;"",MATCH(AB40,お客様データリスト!$A$2:$MV$2,0),"")</f>
        <v>254</v>
      </c>
      <c r="AD40" s="57">
        <f ca="1">IF(AB40&lt;&gt;"",VLOOKUP(AB40,お客様データリスト!$C:$E,3,0),0)</f>
        <v>2</v>
      </c>
      <c r="AE40" s="50"/>
      <c r="AG40" s="54">
        <f>IF(AI40&lt;&gt;"",COUNTA(AI$2:AI40)+AG$1,"")</f>
        <v>528</v>
      </c>
      <c r="AH40" s="49" t="s">
        <v>2815</v>
      </c>
      <c r="AI40" s="49" t="s">
        <v>1449</v>
      </c>
      <c r="AJ40" s="50">
        <f>IF(AI40&lt;&gt;"",MATCH(AI40,お客様データリスト!$A$2:$MV$2,0),"")</f>
        <v>338</v>
      </c>
      <c r="AK40" s="57">
        <f ca="1">IF(AI40&lt;&gt;"",VLOOKUP(AI40,お客様データリスト!$C:$E,3,0),0)</f>
        <v>0</v>
      </c>
      <c r="AL40" s="50"/>
    </row>
    <row r="41" spans="2:38">
      <c r="B41" s="50"/>
      <c r="E41" s="54" t="str">
        <f>IF(G41&lt;&gt;"",COUNTA(G$2:G41)+E$1,"")</f>
        <v/>
      </c>
      <c r="F41" s="49"/>
      <c r="G41" s="49"/>
      <c r="H41" s="50" t="str">
        <f>IF(G41&lt;&gt;"",MATCH(G41,お客様データリスト!$A$2:$MV$2,0),"")</f>
        <v/>
      </c>
      <c r="I41" s="57">
        <f>IF(G41&lt;&gt;"",VLOOKUP(G41,お客様データリスト!$C:$E,3,0),0)</f>
        <v>0</v>
      </c>
      <c r="J41" s="50"/>
      <c r="L41" s="54">
        <f>IF(N41&lt;&gt;"",COUNTA(N$2:N41)+L$1,"")</f>
        <v>226</v>
      </c>
      <c r="M41" s="49" t="s">
        <v>2692</v>
      </c>
      <c r="N41" s="49" t="s">
        <v>1521</v>
      </c>
      <c r="O41" s="50">
        <f>IF(N41&lt;&gt;"",MATCH(N41,お客様データリスト!$A$2:$MV$2,0),"")</f>
        <v>94</v>
      </c>
      <c r="P41" s="57">
        <f ca="1">IF(N41&lt;&gt;"",VLOOKUP(N41,お客様データリスト!$C:$E,3,0),0)</f>
        <v>6</v>
      </c>
      <c r="Q41" s="50"/>
      <c r="S41" s="54">
        <f>IF(U41&lt;&gt;"",COUNTA(U$2:U41)+S$1,"")</f>
        <v>327</v>
      </c>
      <c r="T41" s="49" t="s">
        <v>2726</v>
      </c>
      <c r="U41" s="49" t="s">
        <v>1573</v>
      </c>
      <c r="V41" s="50">
        <f>IF(U41&lt;&gt;"",MATCH(U41,お客様データリスト!$A$2:$MV$2,0),"")</f>
        <v>176</v>
      </c>
      <c r="W41" s="57">
        <f ca="1">IF(U41&lt;&gt;"",VLOOKUP(U41,お客様データリスト!$C:$E,3,0),0)</f>
        <v>0</v>
      </c>
      <c r="X41" s="50"/>
      <c r="Z41" s="54">
        <f>IF(AB41&lt;&gt;"",COUNTA(AB$2:AB41)+Z$1,"")</f>
        <v>431</v>
      </c>
      <c r="AA41" s="49" t="s">
        <v>2771</v>
      </c>
      <c r="AB41" s="49" t="s">
        <v>1628</v>
      </c>
      <c r="AC41" s="50">
        <f>IF(AB41&lt;&gt;"",MATCH(AB41,お客様データリスト!$A$2:$MV$2,0),"")</f>
        <v>256</v>
      </c>
      <c r="AD41" s="57">
        <f ca="1">IF(AB41&lt;&gt;"",VLOOKUP(AB41,お客様データリスト!$C:$E,3,0),0)</f>
        <v>2</v>
      </c>
      <c r="AE41" s="50"/>
      <c r="AG41" s="54">
        <f>IF(AI41&lt;&gt;"",COUNTA(AI$2:AI41)+AG$1,"")</f>
        <v>529</v>
      </c>
      <c r="AH41" s="49" t="s">
        <v>2816</v>
      </c>
      <c r="AI41" s="49" t="s">
        <v>1450</v>
      </c>
      <c r="AJ41" s="50">
        <f>IF(AI41&lt;&gt;"",MATCH(AI41,お客様データリスト!$A$2:$MV$2,0),"")</f>
        <v>340</v>
      </c>
      <c r="AK41" s="57">
        <f ca="1">IF(AI41&lt;&gt;"",VLOOKUP(AI41,お客様データリスト!$C:$E,3,0),0)</f>
        <v>1</v>
      </c>
      <c r="AL41" s="50"/>
    </row>
    <row r="42" spans="2:38">
      <c r="B42" s="50"/>
      <c r="E42" s="54" t="str">
        <f>IF(G42&lt;&gt;"",COUNTA(G$2:G42)+E$1,"")</f>
        <v/>
      </c>
      <c r="F42" s="49"/>
      <c r="G42" s="49"/>
      <c r="H42" s="50" t="str">
        <f>IF(G42&lt;&gt;"",MATCH(G42,お客様データリスト!$A$2:$MV$2,0),"")</f>
        <v/>
      </c>
      <c r="I42" s="57">
        <f>IF(G42&lt;&gt;"",VLOOKUP(G42,お客様データリスト!$C:$E,3,0),0)</f>
        <v>0</v>
      </c>
      <c r="J42" s="50"/>
      <c r="L42" s="54">
        <f>IF(N42&lt;&gt;"",COUNTA(N$2:N42)+L$1,"")</f>
        <v>227</v>
      </c>
      <c r="M42" s="49" t="s">
        <v>2690</v>
      </c>
      <c r="N42" s="49" t="s">
        <v>1522</v>
      </c>
      <c r="O42" s="50">
        <f>IF(N42&lt;&gt;"",MATCH(N42,お客様データリスト!$A$2:$MV$2,0),"")</f>
        <v>96</v>
      </c>
      <c r="P42" s="57">
        <f ca="1">IF(N42&lt;&gt;"",VLOOKUP(N42,お客様データリスト!$C:$E,3,0),0)</f>
        <v>1</v>
      </c>
      <c r="Q42" s="50"/>
      <c r="S42" s="53" t="str">
        <f>IF(U42&lt;&gt;"",COUNTA(U$2:U42)+S$1,"")</f>
        <v/>
      </c>
      <c r="T42" s="47" t="s">
        <v>2727</v>
      </c>
      <c r="U42" s="47"/>
      <c r="V42" s="48" t="str">
        <f>IF(U42&lt;&gt;"",MATCH(U42,お客様データリスト!$A$2:$MV$2,0),"")</f>
        <v/>
      </c>
      <c r="W42" s="56">
        <f>IF(U42&lt;&gt;"",VLOOKUP(U42,お客様データリスト!$C:$E,3,0),0)</f>
        <v>0</v>
      </c>
      <c r="X42" s="48"/>
      <c r="Z42" s="54">
        <f>IF(AB42&lt;&gt;"",COUNTA(AB$2:AB42)+Z$1,"")</f>
        <v>432</v>
      </c>
      <c r="AA42" s="49" t="s">
        <v>2772</v>
      </c>
      <c r="AB42" s="49" t="s">
        <v>1629</v>
      </c>
      <c r="AC42" s="50">
        <f>IF(AB42&lt;&gt;"",MATCH(AB42,お客様データリスト!$A$2:$MV$2,0),"")</f>
        <v>258</v>
      </c>
      <c r="AD42" s="57">
        <f ca="1">IF(AB42&lt;&gt;"",VLOOKUP(AB42,お客様データリスト!$C:$E,3,0),0)</f>
        <v>1</v>
      </c>
      <c r="AE42" s="50"/>
      <c r="AG42" s="54">
        <f>IF(AI42&lt;&gt;"",COUNTA(AI$2:AI42)+AG$1,"")</f>
        <v>530</v>
      </c>
      <c r="AH42" s="49" t="s">
        <v>2817</v>
      </c>
      <c r="AI42" s="49" t="s">
        <v>1451</v>
      </c>
      <c r="AJ42" s="50">
        <f>IF(AI42&lt;&gt;"",MATCH(AI42,お客様データリスト!$A$2:$MV$2,0),"")</f>
        <v>342</v>
      </c>
      <c r="AK42" s="57">
        <f ca="1">IF(AI42&lt;&gt;"",VLOOKUP(AI42,お客様データリスト!$C:$E,3,0),0)</f>
        <v>1</v>
      </c>
      <c r="AL42" s="50"/>
    </row>
    <row r="43" spans="2:38">
      <c r="B43" s="50"/>
      <c r="E43" s="54" t="str">
        <f>IF(G43&lt;&gt;"",COUNTA(G$2:G43)+E$1,"")</f>
        <v/>
      </c>
      <c r="F43" s="49"/>
      <c r="G43" s="49"/>
      <c r="H43" s="50" t="str">
        <f>IF(G43&lt;&gt;"",MATCH(G43,お客様データリスト!$A$2:$MV$2,0),"")</f>
        <v/>
      </c>
      <c r="I43" s="57">
        <f>IF(G43&lt;&gt;"",VLOOKUP(G43,お客様データリスト!$C:$E,3,0),0)</f>
        <v>0</v>
      </c>
      <c r="J43" s="50"/>
      <c r="L43" s="54">
        <f>IF(N43&lt;&gt;"",COUNTA(N$2:N43)+L$1,"")</f>
        <v>228</v>
      </c>
      <c r="M43" s="49" t="s">
        <v>2693</v>
      </c>
      <c r="N43" s="49" t="s">
        <v>1523</v>
      </c>
      <c r="O43" s="50">
        <f>IF(N43&lt;&gt;"",MATCH(N43,お客様データリスト!$A$2:$MV$2,0),"")</f>
        <v>98</v>
      </c>
      <c r="P43" s="57">
        <f ca="1">IF(N43&lt;&gt;"",VLOOKUP(N43,お客様データリスト!$C:$E,3,0),0)</f>
        <v>2</v>
      </c>
      <c r="Q43" s="50"/>
      <c r="S43" s="54">
        <f>IF(U43&lt;&gt;"",COUNTA(U$2:U43)+S$1,"")</f>
        <v>328</v>
      </c>
      <c r="T43" s="49" t="s">
        <v>2728</v>
      </c>
      <c r="U43" s="49" t="s">
        <v>1576</v>
      </c>
      <c r="V43" s="50">
        <f>IF(U43&lt;&gt;"",MATCH(U43,お客様データリスト!$A$2:$MV$2,0),"")</f>
        <v>178</v>
      </c>
      <c r="W43" s="57">
        <f ca="1">IF(U43&lt;&gt;"",VLOOKUP(U43,お客様データリスト!$C:$E,3,0),0)</f>
        <v>4</v>
      </c>
      <c r="X43" s="50"/>
      <c r="Z43" s="54">
        <f>IF(AB43&lt;&gt;"",COUNTA(AB$2:AB43)+Z$1,"")</f>
        <v>433</v>
      </c>
      <c r="AA43" s="49" t="s">
        <v>2773</v>
      </c>
      <c r="AB43" s="49" t="s">
        <v>1630</v>
      </c>
      <c r="AC43" s="50">
        <f>IF(AB43&lt;&gt;"",MATCH(AB43,お客様データリスト!$A$2:$MV$2,0),"")</f>
        <v>260</v>
      </c>
      <c r="AD43" s="57">
        <f ca="1">IF(AB43&lt;&gt;"",VLOOKUP(AB43,お客様データリスト!$C:$E,3,0),0)</f>
        <v>3</v>
      </c>
      <c r="AE43" s="50"/>
      <c r="AG43" s="54">
        <f>IF(AI43&lt;&gt;"",COUNTA(AI$2:AI43)+AG$1,"")</f>
        <v>531</v>
      </c>
      <c r="AH43" s="49" t="s">
        <v>2818</v>
      </c>
      <c r="AI43" s="49" t="s">
        <v>1452</v>
      </c>
      <c r="AJ43" s="50">
        <f>IF(AI43&lt;&gt;"",MATCH(AI43,お客様データリスト!$A$2:$MV$2,0),"")</f>
        <v>344</v>
      </c>
      <c r="AK43" s="57">
        <f ca="1">IF(AI43&lt;&gt;"",VLOOKUP(AI43,お客様データリスト!$C:$E,3,0),0)</f>
        <v>1</v>
      </c>
      <c r="AL43" s="50"/>
    </row>
    <row r="44" spans="2:38">
      <c r="B44" s="50"/>
      <c r="E44" s="54" t="str">
        <f>IF(G44&lt;&gt;"",COUNTA(G$2:G44)+E$1,"")</f>
        <v/>
      </c>
      <c r="F44" s="49"/>
      <c r="G44" s="49"/>
      <c r="H44" s="50" t="str">
        <f>IF(G44&lt;&gt;"",MATCH(G44,お客様データリスト!$A$2:$MV$2,0),"")</f>
        <v/>
      </c>
      <c r="I44" s="57">
        <f>IF(G44&lt;&gt;"",VLOOKUP(G44,お客様データリスト!$C:$E,3,0),0)</f>
        <v>0</v>
      </c>
      <c r="J44" s="50"/>
      <c r="L44" s="52" t="str">
        <f>IF(N44&lt;&gt;"",COUNTA(N$2:N44)+L$1,"")</f>
        <v/>
      </c>
      <c r="M44" s="45" t="s">
        <v>2694</v>
      </c>
      <c r="N44" s="45"/>
      <c r="O44" s="46" t="str">
        <f>IF(N44&lt;&gt;"",MATCH(N44,お客様データリスト!$A$2:$MV$2,0),"")</f>
        <v/>
      </c>
      <c r="P44" s="58">
        <f>IF(N44&lt;&gt;"",VLOOKUP(N44,お客様データリスト!$C:$E,3,0),0)</f>
        <v>0</v>
      </c>
      <c r="Q44" s="59"/>
      <c r="S44" s="53" t="str">
        <f>IF(U44&lt;&gt;"",COUNTA(U$2:U44)+S$1,"")</f>
        <v/>
      </c>
      <c r="T44" s="47" t="s">
        <v>2729</v>
      </c>
      <c r="U44" s="47"/>
      <c r="V44" s="48" t="str">
        <f>IF(U44&lt;&gt;"",MATCH(U44,お客様データリスト!$A$2:$MV$2,0),"")</f>
        <v/>
      </c>
      <c r="W44" s="56">
        <f>IF(U44&lt;&gt;"",VLOOKUP(U44,お客様データリスト!$C:$E,3,0),0)</f>
        <v>0</v>
      </c>
      <c r="X44" s="48"/>
      <c r="Z44" s="54">
        <f>IF(AB44&lt;&gt;"",COUNTA(AB$2:AB44)+Z$1,"")</f>
        <v>434</v>
      </c>
      <c r="AA44" s="49" t="s">
        <v>2774</v>
      </c>
      <c r="AB44" s="49" t="s">
        <v>1631</v>
      </c>
      <c r="AC44" s="50">
        <f>IF(AB44&lt;&gt;"",MATCH(AB44,お客様データリスト!$A$2:$MV$2,0),"")</f>
        <v>262</v>
      </c>
      <c r="AD44" s="57">
        <f ca="1">IF(AB44&lt;&gt;"",VLOOKUP(AB44,お客様データリスト!$C:$E,3,0),0)</f>
        <v>3</v>
      </c>
      <c r="AE44" s="50"/>
      <c r="AG44" s="54">
        <f>IF(AI44&lt;&gt;"",COUNTA(AI$2:AI44)+AG$1,"")</f>
        <v>532</v>
      </c>
      <c r="AH44" s="49" t="s">
        <v>2819</v>
      </c>
      <c r="AI44" s="49" t="s">
        <v>1453</v>
      </c>
      <c r="AJ44" s="50">
        <f>IF(AI44&lt;&gt;"",MATCH(AI44,お客様データリスト!$A$2:$MV$2,0),"")</f>
        <v>346</v>
      </c>
      <c r="AK44" s="57">
        <f ca="1">IF(AI44&lt;&gt;"",VLOOKUP(AI44,お客様データリスト!$C:$E,3,0),0)</f>
        <v>1</v>
      </c>
      <c r="AL44" s="50"/>
    </row>
    <row r="45" spans="2:38">
      <c r="B45" s="50"/>
      <c r="E45" s="54" t="str">
        <f>IF(G45&lt;&gt;"",COUNTA(G$2:G45)+E$1,"")</f>
        <v/>
      </c>
      <c r="F45" s="49"/>
      <c r="G45" s="49"/>
      <c r="H45" s="50" t="str">
        <f>IF(G45&lt;&gt;"",MATCH(G45,お客様データリスト!$A$2:$MV$2,0),"")</f>
        <v/>
      </c>
      <c r="I45" s="57">
        <f>IF(G45&lt;&gt;"",VLOOKUP(G45,お客様データリスト!$C:$E,3,0),0)</f>
        <v>0</v>
      </c>
      <c r="J45" s="50"/>
      <c r="L45" s="53" t="str">
        <f>IF(N45&lt;&gt;"",COUNTA(N$2:N45)+L$1,"")</f>
        <v/>
      </c>
      <c r="M45" s="47" t="s">
        <v>2695</v>
      </c>
      <c r="N45" s="47"/>
      <c r="O45" s="48" t="str">
        <f>IF(N45&lt;&gt;"",MATCH(N45,お客様データリスト!$A$2:$MV$2,0),"")</f>
        <v/>
      </c>
      <c r="P45" s="56">
        <f>IF(N45&lt;&gt;"",VLOOKUP(N45,お客様データリスト!$C:$E,3,0),0)</f>
        <v>0</v>
      </c>
      <c r="Q45" s="48"/>
      <c r="S45" s="54">
        <f>IF(U45&lt;&gt;"",COUNTA(U$2:U45)+S$1,"")</f>
        <v>329</v>
      </c>
      <c r="T45" s="49" t="s">
        <v>2730</v>
      </c>
      <c r="U45" s="49" t="s">
        <v>1577</v>
      </c>
      <c r="V45" s="50">
        <f>IF(U45&lt;&gt;"",MATCH(U45,お客様データリスト!$A$2:$MV$2,0),"")</f>
        <v>180</v>
      </c>
      <c r="W45" s="57">
        <f ca="1">IF(U45&lt;&gt;"",VLOOKUP(U45,お客様データリスト!$C:$E,3,0),0)</f>
        <v>5</v>
      </c>
      <c r="X45" s="50"/>
      <c r="Z45" s="54">
        <f>IF(AB45&lt;&gt;"",COUNTA(AB$2:AB45)+Z$1,"")</f>
        <v>435</v>
      </c>
      <c r="AA45" s="49" t="s">
        <v>2775</v>
      </c>
      <c r="AB45" s="49" t="s">
        <v>1632</v>
      </c>
      <c r="AC45" s="50">
        <f>IF(AB45&lt;&gt;"",MATCH(AB45,お客様データリスト!$A$2:$MV$2,0),"")</f>
        <v>264</v>
      </c>
      <c r="AD45" s="57">
        <f ca="1">IF(AB45&lt;&gt;"",VLOOKUP(AB45,お客様データリスト!$C:$E,3,0),0)</f>
        <v>8</v>
      </c>
      <c r="AE45" s="50"/>
      <c r="AG45" s="54">
        <f>IF(AI45&lt;&gt;"",COUNTA(AI$2:AI45)+AG$1,"")</f>
        <v>533</v>
      </c>
      <c r="AH45" s="49" t="s">
        <v>2820</v>
      </c>
      <c r="AI45" s="49" t="s">
        <v>1659</v>
      </c>
      <c r="AJ45" s="50">
        <f>IF(AI45&lt;&gt;"",MATCH(AI45,お客様データリスト!$A$2:$MV$2,0),"")</f>
        <v>308</v>
      </c>
      <c r="AK45" s="57">
        <f ca="1">IF(AI45&lt;&gt;"",VLOOKUP(AI45,お客様データリスト!$C:$E,3,0),0)</f>
        <v>1</v>
      </c>
      <c r="AL45" s="50"/>
    </row>
    <row r="46" spans="2:38">
      <c r="B46" s="50"/>
      <c r="E46" s="54" t="str">
        <f>IF(G46&lt;&gt;"",COUNTA(G$2:G46)+E$1,"")</f>
        <v/>
      </c>
      <c r="F46" s="49"/>
      <c r="G46" s="49"/>
      <c r="H46" s="50" t="str">
        <f>IF(G46&lt;&gt;"",MATCH(G46,お客様データリスト!$A$2:$MV$2,0),"")</f>
        <v/>
      </c>
      <c r="I46" s="57">
        <f>IF(G46&lt;&gt;"",VLOOKUP(G46,お客様データリスト!$C:$E,3,0),0)</f>
        <v>0</v>
      </c>
      <c r="J46" s="50"/>
      <c r="L46" s="54">
        <f>IF(N46&lt;&gt;"",COUNTA(N$2:N46)+L$1,"")</f>
        <v>229</v>
      </c>
      <c r="M46" s="49" t="s">
        <v>2696</v>
      </c>
      <c r="N46" s="49" t="s">
        <v>1527</v>
      </c>
      <c r="O46" s="50">
        <f>IF(N46&lt;&gt;"",MATCH(N46,お客様データリスト!$A$2:$MV$2,0),"")</f>
        <v>100</v>
      </c>
      <c r="P46" s="57">
        <f ca="1">IF(N46&lt;&gt;"",VLOOKUP(N46,お客様データリスト!$C:$E,3,0),0)</f>
        <v>0</v>
      </c>
      <c r="Q46" s="50"/>
      <c r="S46" s="54">
        <f>IF(U46&lt;&gt;"",COUNTA(U$2:U46)+S$1,"")</f>
        <v>330</v>
      </c>
      <c r="T46" s="49" t="s">
        <v>2730</v>
      </c>
      <c r="U46" s="49" t="s">
        <v>1578</v>
      </c>
      <c r="V46" s="50">
        <f>IF(U46&lt;&gt;"",MATCH(U46,お客様データリスト!$A$2:$MV$2,0),"")</f>
        <v>182</v>
      </c>
      <c r="W46" s="57">
        <f ca="1">IF(U46&lt;&gt;"",VLOOKUP(U46,お客様データリスト!$C:$E,3,0),0)</f>
        <v>2</v>
      </c>
      <c r="X46" s="50"/>
      <c r="Z46" s="54">
        <f>IF(AB46&lt;&gt;"",COUNTA(AB$2:AB46)+Z$1,"")</f>
        <v>436</v>
      </c>
      <c r="AA46" s="49" t="s">
        <v>2776</v>
      </c>
      <c r="AB46" s="49" t="s">
        <v>1633</v>
      </c>
      <c r="AC46" s="50">
        <f>IF(AB46&lt;&gt;"",MATCH(AB46,お客様データリスト!$A$2:$MV$2,0),"")</f>
        <v>266</v>
      </c>
      <c r="AD46" s="57">
        <f ca="1">IF(AB46&lt;&gt;"",VLOOKUP(AB46,お客様データリスト!$C:$E,3,0),0)</f>
        <v>5</v>
      </c>
      <c r="AE46" s="50"/>
      <c r="AG46" s="54">
        <f>IF(AI46&lt;&gt;"",COUNTA(AI$2:AI46)+AG$1,"")</f>
        <v>534</v>
      </c>
      <c r="AH46" s="49" t="s">
        <v>2639</v>
      </c>
      <c r="AI46" s="49" t="s">
        <v>1454</v>
      </c>
      <c r="AJ46" s="50">
        <f>IF(AI46&lt;&gt;"",MATCH(AI46,お客様データリスト!$A$2:$MV$2,0),"")</f>
        <v>348</v>
      </c>
      <c r="AK46" s="57">
        <f ca="1">IF(AI46&lt;&gt;"",VLOOKUP(AI46,お客様データリスト!$C:$E,3,0),0)</f>
        <v>0</v>
      </c>
      <c r="AL46" s="50"/>
    </row>
    <row r="47" spans="2:38">
      <c r="B47" s="50"/>
      <c r="E47" s="54" t="str">
        <f>IF(G47&lt;&gt;"",COUNTA(G$2:G47)+E$1,"")</f>
        <v/>
      </c>
      <c r="F47" s="49"/>
      <c r="G47" s="49"/>
      <c r="H47" s="50" t="str">
        <f>IF(G47&lt;&gt;"",MATCH(G47,お客様データリスト!$A$2:$MV$2,0),"")</f>
        <v/>
      </c>
      <c r="I47" s="57">
        <f>IF(G47&lt;&gt;"",VLOOKUP(G47,お客様データリスト!$C:$E,3,0),0)</f>
        <v>0</v>
      </c>
      <c r="J47" s="50"/>
      <c r="L47" s="54">
        <f>IF(N47&lt;&gt;"",COUNTA(N$2:N47)+L$1,"")</f>
        <v>230</v>
      </c>
      <c r="M47" s="49" t="s">
        <v>2697</v>
      </c>
      <c r="N47" s="49" t="s">
        <v>1528</v>
      </c>
      <c r="O47" s="50">
        <f>IF(N47&lt;&gt;"",MATCH(N47,お客様データリスト!$A$2:$MV$2,0),"")</f>
        <v>102</v>
      </c>
      <c r="P47" s="57">
        <f ca="1">IF(N47&lt;&gt;"",VLOOKUP(N47,お客様データリスト!$C:$E,3,0),0)</f>
        <v>0</v>
      </c>
      <c r="Q47" s="50"/>
      <c r="S47" s="54">
        <f>IF(U47&lt;&gt;"",COUNTA(U$2:U47)+S$1,"")</f>
        <v>331</v>
      </c>
      <c r="T47" s="49" t="s">
        <v>2731</v>
      </c>
      <c r="U47" s="49" t="s">
        <v>1579</v>
      </c>
      <c r="V47" s="50">
        <f>IF(U47&lt;&gt;"",MATCH(U47,お客様データリスト!$A$2:$MV$2,0),"")</f>
        <v>184</v>
      </c>
      <c r="W47" s="57">
        <f ca="1">IF(U47&lt;&gt;"",VLOOKUP(U47,お客様データリスト!$C:$E,3,0),0)</f>
        <v>0</v>
      </c>
      <c r="X47" s="50"/>
      <c r="Z47" s="54">
        <f>IF(AB47&lt;&gt;"",COUNTA(AB$2:AB47)+Z$1,"")</f>
        <v>437</v>
      </c>
      <c r="AA47" s="49" t="s">
        <v>2777</v>
      </c>
      <c r="AB47" s="49" t="s">
        <v>1634</v>
      </c>
      <c r="AC47" s="50">
        <f>IF(AB47&lt;&gt;"",MATCH(AB47,お客様データリスト!$A$2:$MV$2,0),"")</f>
        <v>268</v>
      </c>
      <c r="AD47" s="57">
        <f ca="1">IF(AB47&lt;&gt;"",VLOOKUP(AB47,お客様データリスト!$C:$E,3,0),0)</f>
        <v>0</v>
      </c>
      <c r="AE47" s="50"/>
      <c r="AG47" s="52" t="str">
        <f>IF(AI47&lt;&gt;"",COUNTA(AI$2:AI47)+AG$1,"")</f>
        <v/>
      </c>
      <c r="AH47" s="45" t="s">
        <v>2821</v>
      </c>
      <c r="AI47" s="45"/>
      <c r="AJ47" s="46" t="str">
        <f>IF(AI47&lt;&gt;"",MATCH(AI47,お客様データリスト!$A$2:$MV$2,0),"")</f>
        <v/>
      </c>
      <c r="AK47" s="58">
        <f>IF(AI47&lt;&gt;"",VLOOKUP(AI47,お客様データリスト!$C:$E,3,0),0)</f>
        <v>0</v>
      </c>
      <c r="AL47" s="59"/>
    </row>
    <row r="48" spans="2:38">
      <c r="B48" s="50"/>
      <c r="E48" s="54" t="str">
        <f>IF(G48&lt;&gt;"",COUNTA(G$2:G48)+E$1,"")</f>
        <v/>
      </c>
      <c r="F48" s="49"/>
      <c r="G48" s="49"/>
      <c r="H48" s="50" t="str">
        <f>IF(G48&lt;&gt;"",MATCH(G48,お客様データリスト!$A$2:$MV$2,0),"")</f>
        <v/>
      </c>
      <c r="I48" s="57">
        <f>IF(G48&lt;&gt;"",VLOOKUP(G48,お客様データリスト!$C:$E,3,0),0)</f>
        <v>0</v>
      </c>
      <c r="J48" s="50"/>
      <c r="L48" s="54">
        <f>IF(N48&lt;&gt;"",COUNTA(N$2:N48)+L$1,"")</f>
        <v>231</v>
      </c>
      <c r="M48" s="49" t="s">
        <v>2698</v>
      </c>
      <c r="N48" s="49" t="s">
        <v>1529</v>
      </c>
      <c r="O48" s="50">
        <f>IF(N48&lt;&gt;"",MATCH(N48,お客様データリスト!$A$2:$MV$2,0),"")</f>
        <v>104</v>
      </c>
      <c r="P48" s="57">
        <f ca="1">IF(N48&lt;&gt;"",VLOOKUP(N48,お客様データリスト!$C:$E,3,0),0)</f>
        <v>0</v>
      </c>
      <c r="Q48" s="50"/>
      <c r="S48" s="54">
        <f>IF(U48&lt;&gt;"",COUNTA(U$2:U48)+S$1,"")</f>
        <v>332</v>
      </c>
      <c r="T48" s="49" t="s">
        <v>1061</v>
      </c>
      <c r="U48" s="49" t="s">
        <v>1580</v>
      </c>
      <c r="V48" s="50">
        <f>IF(U48&lt;&gt;"",MATCH(U48,お客様データリスト!$A$2:$MV$2,0),"")</f>
        <v>186</v>
      </c>
      <c r="W48" s="57">
        <f ca="1">IF(U48&lt;&gt;"",VLOOKUP(U48,お客様データリスト!$C:$E,3,0),0)</f>
        <v>0</v>
      </c>
      <c r="X48" s="50"/>
      <c r="Z48" s="54">
        <f>IF(AB48&lt;&gt;"",COUNTA(AB$2:AB48)+Z$1,"")</f>
        <v>438</v>
      </c>
      <c r="AA48" s="49" t="s">
        <v>2778</v>
      </c>
      <c r="AB48" s="49" t="s">
        <v>1635</v>
      </c>
      <c r="AC48" s="50">
        <f>IF(AB48&lt;&gt;"",MATCH(AB48,お客様データリスト!$A$2:$MV$2,0),"")</f>
        <v>270</v>
      </c>
      <c r="AD48" s="57">
        <f ca="1">IF(AB48&lt;&gt;"",VLOOKUP(AB48,お客様データリスト!$C:$E,3,0),0)</f>
        <v>0</v>
      </c>
      <c r="AE48" s="50"/>
      <c r="AG48" s="53" t="str">
        <f>IF(AI48&lt;&gt;"",COUNTA(AI$2:AI48)+AG$1,"")</f>
        <v/>
      </c>
      <c r="AH48" s="47" t="s">
        <v>2822</v>
      </c>
      <c r="AI48" s="47"/>
      <c r="AJ48" s="48" t="str">
        <f>IF(AI48&lt;&gt;"",MATCH(AI48,お客様データリスト!$A$2:$MV$2,0),"")</f>
        <v/>
      </c>
      <c r="AK48" s="56">
        <f>IF(AI48&lt;&gt;"",VLOOKUP(AI48,お客様データリスト!$C:$E,3,0),0)</f>
        <v>0</v>
      </c>
      <c r="AL48" s="48"/>
    </row>
    <row r="49" spans="2:38">
      <c r="B49" s="50"/>
      <c r="E49" s="54" t="str">
        <f>IF(G49&lt;&gt;"",COUNTA(G$2:G49)+E$1,"")</f>
        <v/>
      </c>
      <c r="F49" s="49"/>
      <c r="G49" s="49"/>
      <c r="H49" s="50" t="str">
        <f>IF(G49&lt;&gt;"",MATCH(G49,お客様データリスト!$A$2:$MV$2,0),"")</f>
        <v/>
      </c>
      <c r="I49" s="57">
        <f>IF(G49&lt;&gt;"",VLOOKUP(G49,お客様データリスト!$C:$E,3,0),0)</f>
        <v>0</v>
      </c>
      <c r="J49" s="50"/>
      <c r="L49" s="54">
        <f>IF(N49&lt;&gt;"",COUNTA(N$2:N49)+L$1,"")</f>
        <v>232</v>
      </c>
      <c r="M49" s="49" t="s">
        <v>2699</v>
      </c>
      <c r="N49" s="49" t="s">
        <v>1530</v>
      </c>
      <c r="O49" s="50">
        <f>IF(N49&lt;&gt;"",MATCH(N49,お客様データリスト!$A$2:$MV$2,0),"")</f>
        <v>106</v>
      </c>
      <c r="P49" s="57">
        <f ca="1">IF(N49&lt;&gt;"",VLOOKUP(N49,お客様データリスト!$C:$E,3,0),0)</f>
        <v>0</v>
      </c>
      <c r="Q49" s="50"/>
      <c r="S49" s="53" t="str">
        <f>IF(U49&lt;&gt;"",COUNTA(U$2:U49)+S$1,"")</f>
        <v/>
      </c>
      <c r="T49" s="47" t="s">
        <v>2732</v>
      </c>
      <c r="U49" s="47"/>
      <c r="V49" s="48" t="str">
        <f>IF(U49&lt;&gt;"",MATCH(U49,お客様データリスト!$A$2:$MV$2,0),"")</f>
        <v/>
      </c>
      <c r="W49" s="56">
        <f>IF(U49&lt;&gt;"",VLOOKUP(U49,お客様データリスト!$C:$E,3,0),0)</f>
        <v>0</v>
      </c>
      <c r="X49" s="48"/>
      <c r="Z49" s="54" t="str">
        <f>IF(AB49&lt;&gt;"",COUNTA(AB$2:AB49)+Z$1,"")</f>
        <v/>
      </c>
      <c r="AA49" s="49"/>
      <c r="AB49" s="49"/>
      <c r="AC49" s="50" t="str">
        <f>IF(AB49&lt;&gt;"",MATCH(AB49,お客様データリスト!$A$2:$MV$2,0),"")</f>
        <v/>
      </c>
      <c r="AD49" s="57">
        <f>IF(AB49&lt;&gt;"",VLOOKUP(AB49,お客様データリスト!$C:$E,3,0),0)</f>
        <v>0</v>
      </c>
      <c r="AE49" s="50"/>
      <c r="AG49" s="54">
        <f>IF(AI49&lt;&gt;"",COUNTA(AI$2:AI49)+AG$1,"")</f>
        <v>535</v>
      </c>
      <c r="AH49" s="49" t="s">
        <v>2823</v>
      </c>
      <c r="AI49" s="49" t="s">
        <v>1456</v>
      </c>
      <c r="AJ49" s="50">
        <f>IF(AI49&lt;&gt;"",MATCH(AI49,お客様データリスト!$A$2:$MV$2,0),"")</f>
        <v>350</v>
      </c>
      <c r="AK49" s="57">
        <f ca="1">IF(AI49&lt;&gt;"",VLOOKUP(AI49,お客様データリスト!$C:$E,3,0),0)</f>
        <v>0</v>
      </c>
      <c r="AL49" s="50"/>
    </row>
    <row r="50" spans="2:38">
      <c r="B50" s="50"/>
      <c r="E50" s="54" t="str">
        <f>IF(G50&lt;&gt;"",COUNTA(G$2:G50)+E$1,"")</f>
        <v/>
      </c>
      <c r="F50" s="49"/>
      <c r="G50" s="49"/>
      <c r="H50" s="50" t="str">
        <f>IF(G50&lt;&gt;"",MATCH(G50,お客様データリスト!$A$2:$MV$2,0),"")</f>
        <v/>
      </c>
      <c r="I50" s="57">
        <f>IF(G50&lt;&gt;"",VLOOKUP(G50,お客様データリスト!$C:$E,3,0),0)</f>
        <v>0</v>
      </c>
      <c r="J50" s="50"/>
      <c r="L50" s="53" t="str">
        <f>IF(N50&lt;&gt;"",COUNTA(N$2:N50)+L$1,"")</f>
        <v/>
      </c>
      <c r="M50" s="47" t="s">
        <v>2700</v>
      </c>
      <c r="N50" s="47"/>
      <c r="O50" s="48" t="str">
        <f>IF(N50&lt;&gt;"",MATCH(N50,お客様データリスト!$A$2:$MV$2,0),"")</f>
        <v/>
      </c>
      <c r="P50" s="56">
        <f>IF(N50&lt;&gt;"",VLOOKUP(N50,お客様データリスト!$C:$E,3,0),0)</f>
        <v>0</v>
      </c>
      <c r="Q50" s="48"/>
      <c r="S50" s="54">
        <f>IF(U50&lt;&gt;"",COUNTA(U$2:U50)+S$1,"")</f>
        <v>333</v>
      </c>
      <c r="T50" s="49" t="s">
        <v>2733</v>
      </c>
      <c r="U50" s="49" t="s">
        <v>1583</v>
      </c>
      <c r="V50" s="50">
        <f>IF(U50&lt;&gt;"",MATCH(U50,お客様データリスト!$A$2:$MV$2,0),"")</f>
        <v>188</v>
      </c>
      <c r="W50" s="57">
        <f ca="1">IF(U50&lt;&gt;"",VLOOKUP(U50,お客様データリスト!$C:$E,3,0),0)</f>
        <v>1</v>
      </c>
      <c r="X50" s="50"/>
      <c r="Z50" s="54" t="str">
        <f>IF(AB50&lt;&gt;"",COUNTA(AB$2:AB50)+Z$1,"")</f>
        <v/>
      </c>
      <c r="AA50" s="49"/>
      <c r="AB50" s="49"/>
      <c r="AC50" s="50" t="str">
        <f>IF(AB50&lt;&gt;"",MATCH(AB50,お客様データリスト!$A$2:$MV$2,0),"")</f>
        <v/>
      </c>
      <c r="AD50" s="57">
        <f>IF(AB50&lt;&gt;"",VLOOKUP(AB50,お客様データリスト!$C:$E,3,0),0)</f>
        <v>0</v>
      </c>
      <c r="AE50" s="50"/>
      <c r="AG50" s="54">
        <f>IF(AI50&lt;&gt;"",COUNTA(AI$2:AI50)+AG$1,"")</f>
        <v>536</v>
      </c>
      <c r="AH50" s="49" t="s">
        <v>2824</v>
      </c>
      <c r="AI50" s="49" t="s">
        <v>1457</v>
      </c>
      <c r="AJ50" s="50">
        <f>IF(AI50&lt;&gt;"",MATCH(AI50,お客様データリスト!$A$2:$MV$2,0),"")</f>
        <v>352</v>
      </c>
      <c r="AK50" s="57">
        <f ca="1">IF(AI50&lt;&gt;"",VLOOKUP(AI50,お客様データリスト!$C:$E,3,0),0)</f>
        <v>1</v>
      </c>
      <c r="AL50" s="50"/>
    </row>
    <row r="51" spans="2:38">
      <c r="B51" s="50"/>
      <c r="E51" s="54" t="str">
        <f>IF(G51&lt;&gt;"",COUNTA(G$2:G51)+E$1,"")</f>
        <v/>
      </c>
      <c r="F51" s="49"/>
      <c r="G51" s="49"/>
      <c r="H51" s="50" t="str">
        <f>IF(G51&lt;&gt;"",MATCH(G51,お客様データリスト!$A$2:$MV$2,0),"")</f>
        <v/>
      </c>
      <c r="I51" s="57">
        <f>IF(G51&lt;&gt;"",VLOOKUP(G51,お客様データリスト!$C:$E,3,0),0)</f>
        <v>0</v>
      </c>
      <c r="J51" s="50"/>
      <c r="L51" s="54">
        <f>IF(N51&lt;&gt;"",COUNTA(N$2:N51)+L$1,"")</f>
        <v>233</v>
      </c>
      <c r="M51" s="49" t="s">
        <v>2661</v>
      </c>
      <c r="N51" s="49" t="s">
        <v>1533</v>
      </c>
      <c r="O51" s="50">
        <f>IF(N51&lt;&gt;"",MATCH(N51,お客様データリスト!$A$2:$MV$2,0),"")</f>
        <v>108</v>
      </c>
      <c r="P51" s="57">
        <f ca="1">IF(N51&lt;&gt;"",VLOOKUP(N51,お客様データリスト!$C:$E,3,0),0)</f>
        <v>0</v>
      </c>
      <c r="Q51" s="50"/>
      <c r="S51" s="53" t="str">
        <f>IF(U51&lt;&gt;"",COUNTA(U$2:U51)+S$1,"")</f>
        <v/>
      </c>
      <c r="T51" s="47" t="s">
        <v>2734</v>
      </c>
      <c r="U51" s="47"/>
      <c r="V51" s="48" t="str">
        <f>IF(U51&lt;&gt;"",MATCH(U51,お客様データリスト!$A$2:$MV$2,0),"")</f>
        <v/>
      </c>
      <c r="W51" s="56">
        <f>IF(U51&lt;&gt;"",VLOOKUP(U51,お客様データリスト!$C:$E,3,0),0)</f>
        <v>0</v>
      </c>
      <c r="X51" s="48"/>
      <c r="Z51" s="54" t="str">
        <f>IF(AB51&lt;&gt;"",COUNTA(AB$2:AB51)+Z$1,"")</f>
        <v/>
      </c>
      <c r="AA51" s="49"/>
      <c r="AB51" s="49"/>
      <c r="AC51" s="50" t="str">
        <f>IF(AB51&lt;&gt;"",MATCH(AB51,お客様データリスト!$A$2:$MV$2,0),"")</f>
        <v/>
      </c>
      <c r="AD51" s="57">
        <f>IF(AB51&lt;&gt;"",VLOOKUP(AB51,お客様データリスト!$C:$E,3,0),0)</f>
        <v>0</v>
      </c>
      <c r="AE51" s="50"/>
      <c r="AG51" s="54">
        <f>IF(AI51&lt;&gt;"",COUNTA(AI$2:AI51)+AG$1,"")</f>
        <v>537</v>
      </c>
      <c r="AH51" s="49" t="s">
        <v>2639</v>
      </c>
      <c r="AI51" s="49" t="s">
        <v>1458</v>
      </c>
      <c r="AJ51" s="50">
        <f>IF(AI51&lt;&gt;"",MATCH(AI51,お客様データリスト!$A$2:$MV$2,0),"")</f>
        <v>354</v>
      </c>
      <c r="AK51" s="57">
        <f ca="1">IF(AI51&lt;&gt;"",VLOOKUP(AI51,お客様データリスト!$C:$E,3,0),0)</f>
        <v>0</v>
      </c>
      <c r="AL51" s="50"/>
    </row>
    <row r="52" spans="2:38">
      <c r="B52" s="50"/>
      <c r="E52" s="54" t="str">
        <f>IF(G52&lt;&gt;"",COUNTA(G$2:G52)+E$1,"")</f>
        <v/>
      </c>
      <c r="F52" s="49"/>
      <c r="G52" s="49"/>
      <c r="H52" s="50" t="str">
        <f>IF(G52&lt;&gt;"",MATCH(G52,お客様データリスト!$A$2:$MV$2,0),"")</f>
        <v/>
      </c>
      <c r="I52" s="57">
        <f>IF(G52&lt;&gt;"",VLOOKUP(G52,お客様データリスト!$C:$E,3,0),0)</f>
        <v>0</v>
      </c>
      <c r="J52" s="50"/>
      <c r="L52" s="54">
        <f>IF(N52&lt;&gt;"",COUNTA(N$2:N52)+L$1,"")</f>
        <v>234</v>
      </c>
      <c r="M52" s="49" t="s">
        <v>2640</v>
      </c>
      <c r="N52" s="49" t="s">
        <v>1534</v>
      </c>
      <c r="O52" s="50">
        <f>IF(N52&lt;&gt;"",MATCH(N52,お客様データリスト!$A$2:$MV$2,0),"")</f>
        <v>110</v>
      </c>
      <c r="P52" s="57">
        <f ca="1">IF(N52&lt;&gt;"",VLOOKUP(N52,お客様データリスト!$C:$E,3,0),0)</f>
        <v>0</v>
      </c>
      <c r="Q52" s="50"/>
      <c r="S52" s="54">
        <f>IF(U52&lt;&gt;"",COUNTA(U$2:U52)+S$1,"")</f>
        <v>334</v>
      </c>
      <c r="T52" s="49" t="s">
        <v>1096</v>
      </c>
      <c r="U52" s="49" t="s">
        <v>1584</v>
      </c>
      <c r="V52" s="50">
        <f>IF(U52&lt;&gt;"",MATCH(U52,お客様データリスト!$A$2:$MV$2,0),"")</f>
        <v>190</v>
      </c>
      <c r="W52" s="57">
        <f ca="1">IF(U52&lt;&gt;"",VLOOKUP(U52,お客様データリスト!$C:$E,3,0),0)</f>
        <v>0</v>
      </c>
      <c r="X52" s="50"/>
      <c r="Z52" s="54" t="str">
        <f>IF(AB52&lt;&gt;"",COUNTA(AB$2:AB52)+Z$1,"")</f>
        <v/>
      </c>
      <c r="AA52" s="49"/>
      <c r="AB52" s="49"/>
      <c r="AC52" s="50" t="str">
        <f>IF(AB52&lt;&gt;"",MATCH(AB52,お客様データリスト!$A$2:$MV$2,0),"")</f>
        <v/>
      </c>
      <c r="AD52" s="57">
        <f>IF(AB52&lt;&gt;"",VLOOKUP(AB52,お客様データリスト!$C:$E,3,0),0)</f>
        <v>0</v>
      </c>
      <c r="AE52" s="50"/>
      <c r="AG52" s="52" t="str">
        <f>IF(AI52&lt;&gt;"",COUNTA(AI$2:AI52)+AG$1,"")</f>
        <v/>
      </c>
      <c r="AH52" s="45" t="s">
        <v>2825</v>
      </c>
      <c r="AI52" s="45"/>
      <c r="AJ52" s="46" t="str">
        <f>IF(AI52&lt;&gt;"",MATCH(AI52,お客様データリスト!$A$2:$MV$2,0),"")</f>
        <v/>
      </c>
      <c r="AK52" s="58">
        <f>IF(AI52&lt;&gt;"",VLOOKUP(AI52,お客様データリスト!$C:$E,3,0),0)</f>
        <v>0</v>
      </c>
      <c r="AL52" s="59"/>
    </row>
    <row r="53" spans="2:38">
      <c r="B53" s="50"/>
      <c r="E53" s="54" t="str">
        <f>IF(G53&lt;&gt;"",COUNTA(G$2:G53)+E$1,"")</f>
        <v/>
      </c>
      <c r="F53" s="49"/>
      <c r="G53" s="49"/>
      <c r="H53" s="50" t="str">
        <f>IF(G53&lt;&gt;"",MATCH(G53,お客様データリスト!$A$2:$MV$2,0),"")</f>
        <v/>
      </c>
      <c r="I53" s="57">
        <f>IF(G53&lt;&gt;"",VLOOKUP(G53,お客様データリスト!$C:$E,3,0),0)</f>
        <v>0</v>
      </c>
      <c r="J53" s="50"/>
      <c r="L53" s="54">
        <f>IF(N53&lt;&gt;"",COUNTA(N$2:N53)+L$1,"")</f>
        <v>235</v>
      </c>
      <c r="M53" s="49" t="s">
        <v>2701</v>
      </c>
      <c r="N53" s="49" t="s">
        <v>1535</v>
      </c>
      <c r="O53" s="50">
        <f>IF(N53&lt;&gt;"",MATCH(N53,お客様データリスト!$A$2:$MV$2,0),"")</f>
        <v>112</v>
      </c>
      <c r="P53" s="57">
        <f ca="1">IF(N53&lt;&gt;"",VLOOKUP(N53,お客様データリスト!$C:$E,3,0),0)</f>
        <v>0</v>
      </c>
      <c r="Q53" s="50"/>
      <c r="S53" s="53" t="str">
        <f>IF(U53&lt;&gt;"",COUNTA(U$2:U53)+S$1,"")</f>
        <v/>
      </c>
      <c r="T53" s="47" t="s">
        <v>2735</v>
      </c>
      <c r="U53" s="47"/>
      <c r="V53" s="48" t="str">
        <f>IF(U53&lt;&gt;"",MATCH(U53,お客様データリスト!$A$2:$MV$2,0),"")</f>
        <v/>
      </c>
      <c r="W53" s="56">
        <f>IF(U53&lt;&gt;"",VLOOKUP(U53,お客様データリスト!$C:$E,3,0),0)</f>
        <v>0</v>
      </c>
      <c r="X53" s="48"/>
      <c r="Z53" s="54" t="str">
        <f>IF(AB53&lt;&gt;"",COUNTA(AB$2:AB53)+Z$1,"")</f>
        <v/>
      </c>
      <c r="AA53" s="49"/>
      <c r="AB53" s="49"/>
      <c r="AC53" s="50" t="str">
        <f>IF(AB53&lt;&gt;"",MATCH(AB53,お客様データリスト!$A$2:$MV$2,0),"")</f>
        <v/>
      </c>
      <c r="AD53" s="57">
        <f>IF(AB53&lt;&gt;"",VLOOKUP(AB53,お客様データリスト!$C:$E,3,0),0)</f>
        <v>0</v>
      </c>
      <c r="AE53" s="50"/>
      <c r="AG53" s="53" t="str">
        <f>IF(AI53&lt;&gt;"",COUNTA(AI$2:AI53)+AG$1,"")</f>
        <v/>
      </c>
      <c r="AH53" s="47" t="s">
        <v>2826</v>
      </c>
      <c r="AI53" s="47"/>
      <c r="AJ53" s="48" t="str">
        <f>IF(AI53&lt;&gt;"",MATCH(AI53,お客様データリスト!$A$2:$MV$2,0),"")</f>
        <v/>
      </c>
      <c r="AK53" s="56">
        <f>IF(AI53&lt;&gt;"",VLOOKUP(AI53,お客様データリスト!$C:$E,3,0),0)</f>
        <v>0</v>
      </c>
      <c r="AL53" s="48"/>
    </row>
    <row r="54" spans="2:38">
      <c r="B54" s="50"/>
      <c r="E54" s="54" t="str">
        <f>IF(G54&lt;&gt;"",COUNTA(G$2:G54)+E$1,"")</f>
        <v/>
      </c>
      <c r="F54" s="49"/>
      <c r="G54" s="49"/>
      <c r="H54" s="50" t="str">
        <f>IF(G54&lt;&gt;"",MATCH(G54,お客様データリスト!$A$2:$MV$2,0),"")</f>
        <v/>
      </c>
      <c r="I54" s="57">
        <f>IF(G54&lt;&gt;"",VLOOKUP(G54,お客様データリスト!$C:$E,3,0),0)</f>
        <v>0</v>
      </c>
      <c r="J54" s="50"/>
      <c r="L54" s="54">
        <f>IF(N54&lt;&gt;"",COUNTA(N$2:N54)+L$1,"")</f>
        <v>236</v>
      </c>
      <c r="M54" s="49" t="s">
        <v>2702</v>
      </c>
      <c r="N54" s="49" t="s">
        <v>1536</v>
      </c>
      <c r="O54" s="50">
        <f>IF(N54&lt;&gt;"",MATCH(N54,お客様データリスト!$A$2:$MV$2,0),"")</f>
        <v>114</v>
      </c>
      <c r="P54" s="57">
        <f ca="1">IF(N54&lt;&gt;"",VLOOKUP(N54,お客様データリスト!$C:$E,3,0),0)</f>
        <v>0</v>
      </c>
      <c r="Q54" s="50"/>
      <c r="S54" s="54">
        <f>IF(U54&lt;&gt;"",COUNTA(U$2:U54)+S$1,"")</f>
        <v>335</v>
      </c>
      <c r="T54" s="49" t="s">
        <v>1101</v>
      </c>
      <c r="U54" s="49" t="s">
        <v>1585</v>
      </c>
      <c r="V54" s="50">
        <f>IF(U54&lt;&gt;"",MATCH(U54,お客様データリスト!$A$2:$MV$2,0),"")</f>
        <v>192</v>
      </c>
      <c r="W54" s="57">
        <f ca="1">IF(U54&lt;&gt;"",VLOOKUP(U54,お客様データリスト!$C:$E,3,0),0)</f>
        <v>1</v>
      </c>
      <c r="X54" s="50"/>
      <c r="Z54" s="54" t="str">
        <f>IF(AB54&lt;&gt;"",COUNTA(AB$2:AB54)+Z$1,"")</f>
        <v/>
      </c>
      <c r="AA54" s="49"/>
      <c r="AB54" s="49"/>
      <c r="AC54" s="50" t="str">
        <f>IF(AB54&lt;&gt;"",MATCH(AB54,お客様データリスト!$A$2:$MV$2,0),"")</f>
        <v/>
      </c>
      <c r="AD54" s="57">
        <f>IF(AB54&lt;&gt;"",VLOOKUP(AB54,お客様データリスト!$C:$E,3,0),0)</f>
        <v>0</v>
      </c>
      <c r="AE54" s="50"/>
      <c r="AG54" s="54">
        <f>IF(AI54&lt;&gt;"",COUNTA(AI$2:AI54)+AG$1,"")</f>
        <v>538</v>
      </c>
      <c r="AH54" s="49" t="s">
        <v>2827</v>
      </c>
      <c r="AI54" s="49" t="s">
        <v>1459</v>
      </c>
      <c r="AJ54" s="50">
        <f>IF(AI54&lt;&gt;"",MATCH(AI54,お客様データリスト!$A$2:$MV$2,0),"")</f>
        <v>356</v>
      </c>
      <c r="AK54" s="57">
        <f ca="1">IF(AI54&lt;&gt;"",VLOOKUP(AI54,お客様データリスト!$C:$E,3,0),0)</f>
        <v>0</v>
      </c>
      <c r="AL54" s="50"/>
    </row>
    <row r="55" spans="2:38">
      <c r="B55" s="50"/>
      <c r="E55" s="54" t="str">
        <f>IF(G55&lt;&gt;"",COUNTA(G$2:G55)+E$1,"")</f>
        <v/>
      </c>
      <c r="F55" s="49"/>
      <c r="G55" s="49"/>
      <c r="H55" s="50" t="str">
        <f>IF(G55&lt;&gt;"",MATCH(G55,お客様データリスト!$A$2:$MV$2,0),"")</f>
        <v/>
      </c>
      <c r="I55" s="57">
        <f>IF(G55&lt;&gt;"",VLOOKUP(G55,お客様データリスト!$C:$E,3,0),0)</f>
        <v>0</v>
      </c>
      <c r="J55" s="50"/>
      <c r="L55" s="54">
        <f>IF(N55&lt;&gt;"",COUNTA(N$2:N55)+L$1,"")</f>
        <v>237</v>
      </c>
      <c r="M55" s="49" t="s">
        <v>2703</v>
      </c>
      <c r="N55" s="49" t="s">
        <v>1537</v>
      </c>
      <c r="O55" s="50">
        <f>IF(N55&lt;&gt;"",MATCH(N55,お客様データリスト!$A$2:$MV$2,0),"")</f>
        <v>116</v>
      </c>
      <c r="P55" s="57">
        <f ca="1">IF(N55&lt;&gt;"",VLOOKUP(N55,お客様データリスト!$C:$E,3,0),0)</f>
        <v>0</v>
      </c>
      <c r="Q55" s="50"/>
      <c r="S55" s="53" t="str">
        <f>IF(U55&lt;&gt;"",COUNTA(U$2:U55)+S$1,"")</f>
        <v/>
      </c>
      <c r="T55" s="47" t="s">
        <v>2736</v>
      </c>
      <c r="U55" s="47"/>
      <c r="V55" s="48" t="str">
        <f>IF(U55&lt;&gt;"",MATCH(U55,お客様データリスト!$A$2:$MV$2,0),"")</f>
        <v/>
      </c>
      <c r="W55" s="56">
        <f>IF(U55&lt;&gt;"",VLOOKUP(U55,お客様データリスト!$C:$E,3,0),0)</f>
        <v>0</v>
      </c>
      <c r="X55" s="48"/>
      <c r="Z55" s="54" t="str">
        <f>IF(AB55&lt;&gt;"",COUNTA(AB$2:AB55)+Z$1,"")</f>
        <v/>
      </c>
      <c r="AA55" s="49"/>
      <c r="AB55" s="49"/>
      <c r="AC55" s="50" t="str">
        <f>IF(AB55&lt;&gt;"",MATCH(AB55,お客様データリスト!$A$2:$MV$2,0),"")</f>
        <v/>
      </c>
      <c r="AD55" s="57">
        <f>IF(AB55&lt;&gt;"",VLOOKUP(AB55,お客様データリスト!$C:$E,3,0),0)</f>
        <v>0</v>
      </c>
      <c r="AE55" s="50"/>
      <c r="AG55" s="54">
        <f>IF(AI55&lt;&gt;"",COUNTA(AI$2:AI55)+AG$1,"")</f>
        <v>539</v>
      </c>
      <c r="AH55" s="49" t="s">
        <v>2828</v>
      </c>
      <c r="AI55" s="49" t="s">
        <v>1460</v>
      </c>
      <c r="AJ55" s="50">
        <f>IF(AI55&lt;&gt;"",MATCH(AI55,お客様データリスト!$A$2:$MV$2,0),"")</f>
        <v>358</v>
      </c>
      <c r="AK55" s="57">
        <f ca="1">IF(AI55&lt;&gt;"",VLOOKUP(AI55,お客様データリスト!$C:$E,3,0),0)</f>
        <v>0</v>
      </c>
      <c r="AL55" s="50"/>
    </row>
    <row r="56" spans="2:38">
      <c r="B56" s="50"/>
      <c r="E56" s="54" t="str">
        <f>IF(G56&lt;&gt;"",COUNTA(G$2:G56)+E$1,"")</f>
        <v/>
      </c>
      <c r="F56" s="49"/>
      <c r="G56" s="49"/>
      <c r="H56" s="50" t="str">
        <f>IF(G56&lt;&gt;"",MATCH(G56,お客様データリスト!$A$2:$MV$2,0),"")</f>
        <v/>
      </c>
      <c r="I56" s="57">
        <f>IF(G56&lt;&gt;"",VLOOKUP(G56,お客様データリスト!$C:$E,3,0),0)</f>
        <v>0</v>
      </c>
      <c r="J56" s="50"/>
      <c r="L56" s="54">
        <f>IF(N56&lt;&gt;"",COUNTA(N$2:N56)+L$1,"")</f>
        <v>238</v>
      </c>
      <c r="M56" s="49" t="s">
        <v>2704</v>
      </c>
      <c r="N56" s="49" t="s">
        <v>1538</v>
      </c>
      <c r="O56" s="50">
        <f>IF(N56&lt;&gt;"",MATCH(N56,お客様データリスト!$A$2:$MV$2,0),"")</f>
        <v>118</v>
      </c>
      <c r="P56" s="57">
        <f ca="1">IF(N56&lt;&gt;"",VLOOKUP(N56,お客様データリスト!$C:$E,3,0),0)</f>
        <v>0</v>
      </c>
      <c r="Q56" s="50"/>
      <c r="S56" s="54">
        <f>IF(U56&lt;&gt;"",COUNTA(U$2:U56)+S$1,"")</f>
        <v>336</v>
      </c>
      <c r="T56" s="49" t="s">
        <v>2737</v>
      </c>
      <c r="U56" s="49" t="s">
        <v>1586</v>
      </c>
      <c r="V56" s="50">
        <f>IF(U56&lt;&gt;"",MATCH(U56,お客様データリスト!$A$2:$MV$2,0),"")</f>
        <v>194</v>
      </c>
      <c r="W56" s="57">
        <f ca="1">IF(U56&lt;&gt;"",VLOOKUP(U56,お客様データリスト!$C:$E,3,0),0)</f>
        <v>0</v>
      </c>
      <c r="X56" s="50"/>
      <c r="Z56" s="54" t="str">
        <f>IF(AB56&lt;&gt;"",COUNTA(AB$2:AB56)+Z$1,"")</f>
        <v/>
      </c>
      <c r="AA56" s="49"/>
      <c r="AB56" s="49"/>
      <c r="AC56" s="50" t="str">
        <f>IF(AB56&lt;&gt;"",MATCH(AB56,お客様データリスト!$A$2:$MV$2,0),"")</f>
        <v/>
      </c>
      <c r="AD56" s="57">
        <f>IF(AB56&lt;&gt;"",VLOOKUP(AB56,お客様データリスト!$C:$E,3,0),0)</f>
        <v>0</v>
      </c>
      <c r="AE56" s="50"/>
      <c r="AG56" s="52" t="str">
        <f>IF(AI56&lt;&gt;"",COUNTA(AI$2:AI56)+AG$1,"")</f>
        <v/>
      </c>
      <c r="AH56" s="45" t="s">
        <v>2829</v>
      </c>
      <c r="AI56" s="45"/>
      <c r="AJ56" s="46" t="str">
        <f>IF(AI56&lt;&gt;"",MATCH(AI56,お客様データリスト!$A$2:$MV$2,0),"")</f>
        <v/>
      </c>
      <c r="AK56" s="58">
        <f>IF(AI56&lt;&gt;"",VLOOKUP(AI56,お客様データリスト!$C:$E,3,0),0)</f>
        <v>0</v>
      </c>
      <c r="AL56" s="59"/>
    </row>
    <row r="57" spans="2:38">
      <c r="B57" s="50"/>
      <c r="E57" s="54" t="str">
        <f>IF(G57&lt;&gt;"",COUNTA(G$2:G57)+E$1,"")</f>
        <v/>
      </c>
      <c r="F57" s="49"/>
      <c r="G57" s="49"/>
      <c r="H57" s="50" t="str">
        <f>IF(G57&lt;&gt;"",MATCH(G57,お客様データリスト!$A$2:$MV$2,0),"")</f>
        <v/>
      </c>
      <c r="I57" s="57">
        <f>IF(G57&lt;&gt;"",VLOOKUP(G57,お客様データリスト!$C:$E,3,0),0)</f>
        <v>0</v>
      </c>
      <c r="J57" s="50"/>
      <c r="L57" s="54">
        <f>IF(N57&lt;&gt;"",COUNTA(N$2:N57)+L$1,"")</f>
        <v>239</v>
      </c>
      <c r="M57" s="49" t="s">
        <v>2705</v>
      </c>
      <c r="N57" s="49" t="s">
        <v>1539</v>
      </c>
      <c r="O57" s="50">
        <f>IF(N57&lt;&gt;"",MATCH(N57,お客様データリスト!$A$2:$MV$2,0),"")</f>
        <v>120</v>
      </c>
      <c r="P57" s="57">
        <f ca="1">IF(N57&lt;&gt;"",VLOOKUP(N57,お客様データリスト!$C:$E,3,0),0)</f>
        <v>0</v>
      </c>
      <c r="Q57" s="50"/>
      <c r="S57" s="54" t="str">
        <f>IF(U57&lt;&gt;"",COUNTA(U$2:U57)+S$1,"")</f>
        <v/>
      </c>
      <c r="T57" s="49"/>
      <c r="U57" s="49"/>
      <c r="V57" s="50" t="str">
        <f>IF(U57&lt;&gt;"",MATCH(U57,お客様データリスト!$A$2:$MV$2,0),"")</f>
        <v/>
      </c>
      <c r="W57" s="57">
        <f>IF(U57&lt;&gt;"",VLOOKUP(U57,お客様データリスト!$C:$E,3,0),0)</f>
        <v>0</v>
      </c>
      <c r="X57" s="50"/>
      <c r="Z57" s="54" t="str">
        <f>IF(AB57&lt;&gt;"",COUNTA(AB$2:AB57)+Z$1,"")</f>
        <v/>
      </c>
      <c r="AA57" s="49"/>
      <c r="AB57" s="49"/>
      <c r="AC57" s="50" t="str">
        <f>IF(AB57&lt;&gt;"",MATCH(AB57,お客様データリスト!$A$2:$MV$2,0),"")</f>
        <v/>
      </c>
      <c r="AD57" s="57">
        <f>IF(AB57&lt;&gt;"",VLOOKUP(AB57,お客様データリスト!$C:$E,3,0),0)</f>
        <v>0</v>
      </c>
      <c r="AE57" s="50"/>
      <c r="AG57" s="53" t="str">
        <f>IF(AI57&lt;&gt;"",COUNTA(AI$2:AI57)+AG$1,"")</f>
        <v/>
      </c>
      <c r="AH57" s="47" t="s">
        <v>2830</v>
      </c>
      <c r="AI57" s="47"/>
      <c r="AJ57" s="48" t="str">
        <f>IF(AI57&lt;&gt;"",MATCH(AI57,お客様データリスト!$A$2:$MV$2,0),"")</f>
        <v/>
      </c>
      <c r="AK57" s="56">
        <f>IF(AI57&lt;&gt;"",VLOOKUP(AI57,お客様データリスト!$C:$E,3,0),0)</f>
        <v>0</v>
      </c>
      <c r="AL57" s="48"/>
    </row>
    <row r="58" spans="2:38">
      <c r="B58" s="50"/>
      <c r="E58" s="54" t="str">
        <f>IF(G58&lt;&gt;"",COUNTA(G$2:G58)+E$1,"")</f>
        <v/>
      </c>
      <c r="F58" s="49"/>
      <c r="G58" s="49"/>
      <c r="H58" s="50" t="str">
        <f>IF(G58&lt;&gt;"",MATCH(G58,お客様データリスト!$A$2:$MV$2,0),"")</f>
        <v/>
      </c>
      <c r="I58" s="57">
        <f>IF(G58&lt;&gt;"",VLOOKUP(G58,お客様データリスト!$C:$E,3,0),0)</f>
        <v>0</v>
      </c>
      <c r="J58" s="50"/>
      <c r="L58" s="54">
        <f>IF(N58&lt;&gt;"",COUNTA(N$2:N58)+L$1,"")</f>
        <v>240</v>
      </c>
      <c r="M58" s="49" t="s">
        <v>2690</v>
      </c>
      <c r="N58" s="49" t="s">
        <v>1540</v>
      </c>
      <c r="O58" s="50">
        <f>IF(N58&lt;&gt;"",MATCH(N58,お客様データリスト!$A$2:$MV$2,0),"")</f>
        <v>122</v>
      </c>
      <c r="P58" s="57">
        <f ca="1">IF(N58&lt;&gt;"",VLOOKUP(N58,お客様データリスト!$C:$E,3,0),0)</f>
        <v>0</v>
      </c>
      <c r="Q58" s="50"/>
      <c r="S58" s="54" t="str">
        <f>IF(U58&lt;&gt;"",COUNTA(U$2:U58)+S$1,"")</f>
        <v/>
      </c>
      <c r="T58" s="49"/>
      <c r="U58" s="49"/>
      <c r="V58" s="50" t="str">
        <f>IF(U58&lt;&gt;"",MATCH(U58,お客様データリスト!$A$2:$MV$2,0),"")</f>
        <v/>
      </c>
      <c r="W58" s="57">
        <f>IF(U58&lt;&gt;"",VLOOKUP(U58,お客様データリスト!$C:$E,3,0),0)</f>
        <v>0</v>
      </c>
      <c r="X58" s="50"/>
      <c r="Z58" s="54" t="str">
        <f>IF(AB58&lt;&gt;"",COUNTA(AB$2:AB58)+Z$1,"")</f>
        <v/>
      </c>
      <c r="AA58" s="49"/>
      <c r="AB58" s="49"/>
      <c r="AC58" s="50" t="str">
        <f>IF(AB58&lt;&gt;"",MATCH(AB58,お客様データリスト!$A$2:$MV$2,0),"")</f>
        <v/>
      </c>
      <c r="AD58" s="57">
        <f>IF(AB58&lt;&gt;"",VLOOKUP(AB58,お客様データリスト!$C:$E,3,0),0)</f>
        <v>0</v>
      </c>
      <c r="AE58" s="50"/>
      <c r="AG58" s="54">
        <f>IF(AI58&lt;&gt;"",COUNTA(AI$2:AI58)+AG$1,"")</f>
        <v>540</v>
      </c>
      <c r="AH58" s="49" t="s">
        <v>2831</v>
      </c>
      <c r="AI58" s="49" t="s">
        <v>1461</v>
      </c>
      <c r="AJ58" s="50">
        <f>IF(AI58&lt;&gt;"",MATCH(AI58,お客様データリスト!$A$2:$MV$2,0),"")</f>
        <v>360</v>
      </c>
      <c r="AK58" s="57">
        <f ca="1">IF(AI58&lt;&gt;"",VLOOKUP(AI58,お客様データリスト!$C:$E,3,0),0)</f>
        <v>0</v>
      </c>
      <c r="AL58" s="50"/>
    </row>
    <row r="59" spans="2:38">
      <c r="B59" s="50"/>
      <c r="S59" s="54" t="str">
        <f>IF(U59&lt;&gt;"",COUNTA(U$2:U59)+S$1,"")</f>
        <v/>
      </c>
      <c r="T59" s="49"/>
      <c r="U59" s="49"/>
      <c r="V59" s="50" t="str">
        <f>IF(U59&lt;&gt;"",MATCH(U59,お客様データリスト!$A$2:$MV$2,0),"")</f>
        <v/>
      </c>
      <c r="W59" s="57">
        <f>IF(U59&lt;&gt;"",VLOOKUP(U59,お客様データリスト!$C:$E,3,0),0)</f>
        <v>0</v>
      </c>
      <c r="X59" s="50"/>
      <c r="Z59" s="54" t="str">
        <f>IF(AB59&lt;&gt;"",COUNTA(AB$2:AB59)+Z$1,"")</f>
        <v/>
      </c>
      <c r="AA59" s="49"/>
      <c r="AB59" s="49"/>
      <c r="AC59" s="50" t="str">
        <f>IF(AB59&lt;&gt;"",MATCH(AB59,お客様データリスト!$A$2:$MV$2,0),"")</f>
        <v/>
      </c>
      <c r="AD59" s="57">
        <f>IF(AB59&lt;&gt;"",VLOOKUP(AB59,お客様データリスト!$C:$E,3,0),0)</f>
        <v>0</v>
      </c>
      <c r="AE59" s="50"/>
    </row>
    <row r="60" spans="2:38">
      <c r="B60" s="50"/>
      <c r="S60" s="54" t="str">
        <f>IF(U60&lt;&gt;"",COUNTA(U$2:U60)+S$1,"")</f>
        <v/>
      </c>
      <c r="T60" s="49"/>
      <c r="U60" s="49"/>
      <c r="V60" s="50" t="str">
        <f>IF(U60&lt;&gt;"",MATCH(U60,お客様データリスト!$A$2:$MV$2,0),"")</f>
        <v/>
      </c>
      <c r="W60" s="57">
        <f>IF(U60&lt;&gt;"",VLOOKUP(U60,お客様データリスト!$C:$E,3,0),0)</f>
        <v>0</v>
      </c>
      <c r="X60" s="50"/>
    </row>
    <row r="61" spans="2:38">
      <c r="B61" s="50"/>
    </row>
    <row r="62" spans="2:38">
      <c r="B62" s="50"/>
    </row>
    <row r="63" spans="2:38">
      <c r="B63" s="50"/>
    </row>
    <row r="64" spans="2:38">
      <c r="B64" s="50"/>
    </row>
    <row r="65" spans="2:2">
      <c r="B65" s="50"/>
    </row>
    <row r="66" spans="2:2">
      <c r="B66" s="50"/>
    </row>
    <row r="67" spans="2:2">
      <c r="B67" s="50"/>
    </row>
    <row r="68" spans="2:2">
      <c r="B68" s="50"/>
    </row>
    <row r="69" spans="2:2">
      <c r="B69" s="50"/>
    </row>
    <row r="70" spans="2:2">
      <c r="B70" s="50"/>
    </row>
    <row r="71" spans="2:2">
      <c r="B71" s="50"/>
    </row>
    <row r="72" spans="2:2">
      <c r="B72" s="50"/>
    </row>
    <row r="73" spans="2:2">
      <c r="B73" s="50"/>
    </row>
    <row r="74" spans="2:2">
      <c r="B74" s="50"/>
    </row>
    <row r="75" spans="2:2">
      <c r="B75" s="50"/>
    </row>
    <row r="76" spans="2:2">
      <c r="B76" s="50"/>
    </row>
    <row r="77" spans="2:2">
      <c r="B77" s="50"/>
    </row>
    <row r="78" spans="2:2">
      <c r="B78" s="50"/>
    </row>
    <row r="79" spans="2:2">
      <c r="B79" s="50"/>
    </row>
    <row r="80" spans="2:2">
      <c r="B80" s="50"/>
    </row>
    <row r="81" spans="2:2">
      <c r="B81" s="50"/>
    </row>
    <row r="82" spans="2:2">
      <c r="B82" s="50"/>
    </row>
    <row r="83" spans="2:2">
      <c r="B83" s="50"/>
    </row>
    <row r="84" spans="2:2">
      <c r="B84" s="50"/>
    </row>
    <row r="85" spans="2:2">
      <c r="B85" s="50"/>
    </row>
    <row r="86" spans="2:2">
      <c r="B86" s="50"/>
    </row>
    <row r="87" spans="2:2">
      <c r="B87" s="50"/>
    </row>
    <row r="88" spans="2:2">
      <c r="B88" s="50"/>
    </row>
    <row r="89" spans="2:2">
      <c r="B89" s="50"/>
    </row>
    <row r="90" spans="2:2">
      <c r="B90" s="50"/>
    </row>
    <row r="91" spans="2:2">
      <c r="B91" s="50"/>
    </row>
    <row r="92" spans="2:2">
      <c r="B92" s="50"/>
    </row>
    <row r="93" spans="2:2">
      <c r="B93" s="50"/>
    </row>
    <row r="94" spans="2:2">
      <c r="B94" s="50"/>
    </row>
    <row r="95" spans="2:2">
      <c r="B95" s="50"/>
    </row>
    <row r="96" spans="2:2">
      <c r="B96" s="50"/>
    </row>
    <row r="97" spans="2:2">
      <c r="B97" s="50"/>
    </row>
    <row r="98" spans="2:2">
      <c r="B98" s="50"/>
    </row>
    <row r="99" spans="2:2">
      <c r="B99" s="50"/>
    </row>
    <row r="100" spans="2:2">
      <c r="B100" s="50"/>
    </row>
    <row r="101" spans="2:2">
      <c r="B101" s="50"/>
    </row>
    <row r="102" spans="2:2">
      <c r="B102" s="50"/>
    </row>
    <row r="103" spans="2:2">
      <c r="B103" s="50"/>
    </row>
    <row r="104" spans="2:2">
      <c r="B104" s="50"/>
    </row>
    <row r="105" spans="2:2">
      <c r="B105" s="50"/>
    </row>
    <row r="106" spans="2:2">
      <c r="B106" s="50"/>
    </row>
    <row r="107" spans="2:2">
      <c r="B107" s="50"/>
    </row>
    <row r="108" spans="2:2">
      <c r="B108" s="50"/>
    </row>
    <row r="109" spans="2:2">
      <c r="B109" s="50"/>
    </row>
    <row r="110" spans="2:2">
      <c r="B110" s="50"/>
    </row>
    <row r="111" spans="2:2">
      <c r="B111" s="50"/>
    </row>
    <row r="112" spans="2:2">
      <c r="B112" s="50"/>
    </row>
    <row r="113" spans="2:2">
      <c r="B113" s="50"/>
    </row>
    <row r="114" spans="2:2">
      <c r="B114" s="50"/>
    </row>
    <row r="115" spans="2:2">
      <c r="B115" s="50"/>
    </row>
    <row r="116" spans="2:2">
      <c r="B116" s="50"/>
    </row>
    <row r="117" spans="2:2">
      <c r="B117" s="50"/>
    </row>
    <row r="118" spans="2:2">
      <c r="B118" s="50"/>
    </row>
    <row r="119" spans="2:2">
      <c r="B119" s="50"/>
    </row>
    <row r="120" spans="2:2">
      <c r="B120" s="50"/>
    </row>
    <row r="121" spans="2:2">
      <c r="B121" s="50"/>
    </row>
    <row r="122" spans="2:2">
      <c r="B122" s="50"/>
    </row>
    <row r="123" spans="2:2">
      <c r="B123" s="50"/>
    </row>
    <row r="124" spans="2:2">
      <c r="B124" s="50"/>
    </row>
    <row r="125" spans="2:2">
      <c r="B125" s="50"/>
    </row>
    <row r="126" spans="2:2">
      <c r="B126" s="50"/>
    </row>
    <row r="127" spans="2:2">
      <c r="B127" s="50"/>
    </row>
    <row r="128" spans="2:2">
      <c r="B128" s="50"/>
    </row>
    <row r="129" spans="2:2">
      <c r="B129" s="50"/>
    </row>
    <row r="130" spans="2:2">
      <c r="B130" s="50"/>
    </row>
    <row r="131" spans="2:2">
      <c r="B131" s="50"/>
    </row>
    <row r="132" spans="2:2">
      <c r="B132" s="50"/>
    </row>
    <row r="133" spans="2:2">
      <c r="B133" s="50"/>
    </row>
    <row r="134" spans="2:2">
      <c r="B134" s="50"/>
    </row>
    <row r="135" spans="2:2">
      <c r="B135" s="50"/>
    </row>
    <row r="136" spans="2:2">
      <c r="B136" s="50"/>
    </row>
    <row r="137" spans="2:2">
      <c r="B137" s="50"/>
    </row>
    <row r="138" spans="2:2">
      <c r="B138" s="50"/>
    </row>
    <row r="139" spans="2:2">
      <c r="B139" s="50"/>
    </row>
    <row r="140" spans="2:2">
      <c r="B140" s="50"/>
    </row>
    <row r="141" spans="2:2">
      <c r="B141" s="50"/>
    </row>
    <row r="142" spans="2:2">
      <c r="B142" s="50"/>
    </row>
    <row r="143" spans="2:2">
      <c r="B143" s="50"/>
    </row>
    <row r="144" spans="2:2">
      <c r="B144" s="50"/>
    </row>
    <row r="145" spans="2:2">
      <c r="B145" s="50"/>
    </row>
    <row r="146" spans="2:2">
      <c r="B146" s="50"/>
    </row>
    <row r="147" spans="2:2">
      <c r="B147" s="50"/>
    </row>
    <row r="148" spans="2:2">
      <c r="B148" s="50"/>
    </row>
    <row r="149" spans="2:2">
      <c r="B149" s="50"/>
    </row>
    <row r="150" spans="2:2">
      <c r="B150" s="50"/>
    </row>
    <row r="151" spans="2:2">
      <c r="B151" s="50"/>
    </row>
    <row r="152" spans="2:2">
      <c r="B152" s="50"/>
    </row>
    <row r="153" spans="2:2">
      <c r="B153" s="50"/>
    </row>
    <row r="154" spans="2:2">
      <c r="B154" s="50"/>
    </row>
    <row r="155" spans="2:2">
      <c r="B155" s="50"/>
    </row>
    <row r="156" spans="2:2">
      <c r="B156" s="50"/>
    </row>
    <row r="157" spans="2:2">
      <c r="B157" s="50"/>
    </row>
    <row r="158" spans="2:2">
      <c r="B158" s="50"/>
    </row>
    <row r="159" spans="2:2">
      <c r="B159" s="50"/>
    </row>
    <row r="160" spans="2:2">
      <c r="B160" s="50"/>
    </row>
    <row r="161" spans="2:2">
      <c r="B161" s="50"/>
    </row>
    <row r="162" spans="2:2">
      <c r="B162" s="50"/>
    </row>
    <row r="163" spans="2:2">
      <c r="B163" s="50"/>
    </row>
    <row r="164" spans="2:2">
      <c r="B164" s="50"/>
    </row>
    <row r="165" spans="2:2">
      <c r="B165" s="50"/>
    </row>
    <row r="166" spans="2:2">
      <c r="B166" s="50"/>
    </row>
    <row r="167" spans="2:2">
      <c r="B167" s="50"/>
    </row>
    <row r="168" spans="2:2">
      <c r="B168" s="50"/>
    </row>
    <row r="169" spans="2:2">
      <c r="B169" s="50"/>
    </row>
    <row r="170" spans="2:2">
      <c r="B170" s="50"/>
    </row>
    <row r="171" spans="2:2">
      <c r="B171" s="50"/>
    </row>
    <row r="172" spans="2:2">
      <c r="B172" s="50"/>
    </row>
    <row r="173" spans="2:2">
      <c r="B173" s="50"/>
    </row>
    <row r="174" spans="2:2">
      <c r="B174" s="50"/>
    </row>
    <row r="175" spans="2:2">
      <c r="B175" s="50"/>
    </row>
    <row r="176" spans="2:2">
      <c r="B176" s="50"/>
    </row>
    <row r="177" spans="2:2">
      <c r="B177" s="50"/>
    </row>
    <row r="178" spans="2:2">
      <c r="B178" s="50"/>
    </row>
    <row r="179" spans="2:2">
      <c r="B179" s="50"/>
    </row>
    <row r="180" spans="2:2">
      <c r="B180" s="50"/>
    </row>
    <row r="181" spans="2:2">
      <c r="B181" s="50"/>
    </row>
    <row r="182" spans="2:2">
      <c r="B182" s="50"/>
    </row>
    <row r="183" spans="2:2">
      <c r="B183" s="50"/>
    </row>
    <row r="184" spans="2:2">
      <c r="B184" s="50"/>
    </row>
    <row r="185" spans="2:2">
      <c r="B185" s="50"/>
    </row>
    <row r="186" spans="2:2">
      <c r="B186" s="50"/>
    </row>
    <row r="187" spans="2:2">
      <c r="B187" s="50"/>
    </row>
    <row r="188" spans="2:2">
      <c r="B188" s="50"/>
    </row>
    <row r="189" spans="2:2">
      <c r="B189" s="50"/>
    </row>
    <row r="190" spans="2:2">
      <c r="B190" s="50"/>
    </row>
    <row r="191" spans="2:2">
      <c r="B191" s="50"/>
    </row>
    <row r="192" spans="2:2">
      <c r="B192" s="50"/>
    </row>
    <row r="193" spans="2:2">
      <c r="B193" s="50"/>
    </row>
    <row r="194" spans="2:2">
      <c r="B194" s="50"/>
    </row>
    <row r="195" spans="2:2">
      <c r="B195" s="50"/>
    </row>
    <row r="196" spans="2:2">
      <c r="B196" s="50"/>
    </row>
    <row r="197" spans="2:2">
      <c r="B197" s="50"/>
    </row>
    <row r="198" spans="2:2">
      <c r="B198" s="50"/>
    </row>
    <row r="199" spans="2:2">
      <c r="B199" s="50"/>
    </row>
    <row r="200" spans="2:2">
      <c r="B200" s="50"/>
    </row>
    <row r="201" spans="2:2">
      <c r="B201" s="50"/>
    </row>
    <row r="202" spans="2:2">
      <c r="B202" s="50"/>
    </row>
    <row r="203" spans="2:2">
      <c r="B203" s="50"/>
    </row>
    <row r="204" spans="2:2">
      <c r="B204" s="50"/>
    </row>
    <row r="205" spans="2:2">
      <c r="B205" s="50"/>
    </row>
    <row r="206" spans="2:2">
      <c r="B206" s="50"/>
    </row>
    <row r="207" spans="2:2">
      <c r="B207" s="50"/>
    </row>
    <row r="208" spans="2:2">
      <c r="B208" s="50"/>
    </row>
    <row r="209" spans="2:2">
      <c r="B209" s="50"/>
    </row>
    <row r="210" spans="2:2">
      <c r="B210" s="50"/>
    </row>
    <row r="211" spans="2:2">
      <c r="B211" s="50"/>
    </row>
    <row r="212" spans="2:2">
      <c r="B212" s="50"/>
    </row>
    <row r="213" spans="2:2">
      <c r="B213" s="50"/>
    </row>
    <row r="214" spans="2:2">
      <c r="B214" s="50"/>
    </row>
    <row r="215" spans="2:2">
      <c r="B215" s="50"/>
    </row>
    <row r="216" spans="2:2">
      <c r="B216" s="50"/>
    </row>
    <row r="217" spans="2:2">
      <c r="B217" s="50"/>
    </row>
    <row r="218" spans="2:2">
      <c r="B218" s="50"/>
    </row>
    <row r="219" spans="2:2">
      <c r="B219" s="50"/>
    </row>
    <row r="220" spans="2:2">
      <c r="B220" s="50"/>
    </row>
    <row r="221" spans="2:2">
      <c r="B221" s="50"/>
    </row>
    <row r="222" spans="2:2">
      <c r="B222" s="50"/>
    </row>
    <row r="223" spans="2:2">
      <c r="B223" s="50"/>
    </row>
    <row r="224" spans="2:2">
      <c r="B224" s="50"/>
    </row>
    <row r="225" spans="2:2">
      <c r="B225" s="50"/>
    </row>
    <row r="226" spans="2:2">
      <c r="B226" s="50"/>
    </row>
    <row r="227" spans="2:2">
      <c r="B227" s="50"/>
    </row>
    <row r="228" spans="2:2">
      <c r="B228" s="50"/>
    </row>
    <row r="229" spans="2:2">
      <c r="B229" s="50"/>
    </row>
    <row r="230" spans="2:2">
      <c r="B230" s="50"/>
    </row>
    <row r="231" spans="2:2">
      <c r="B231" s="50"/>
    </row>
    <row r="232" spans="2:2">
      <c r="B232" s="50"/>
    </row>
    <row r="233" spans="2:2">
      <c r="B233" s="50"/>
    </row>
    <row r="234" spans="2:2">
      <c r="B234" s="50"/>
    </row>
    <row r="235" spans="2:2">
      <c r="B235" s="50"/>
    </row>
    <row r="236" spans="2:2">
      <c r="B236" s="50"/>
    </row>
    <row r="237" spans="2:2">
      <c r="B237" s="50"/>
    </row>
    <row r="238" spans="2:2">
      <c r="B238" s="50"/>
    </row>
    <row r="239" spans="2:2">
      <c r="B239" s="50"/>
    </row>
    <row r="240" spans="2:2">
      <c r="B240" s="50"/>
    </row>
    <row r="241" spans="2:2">
      <c r="B241" s="50"/>
    </row>
    <row r="242" spans="2:2">
      <c r="B242" s="50"/>
    </row>
    <row r="243" spans="2:2">
      <c r="B243" s="50"/>
    </row>
    <row r="244" spans="2:2">
      <c r="B244" s="50"/>
    </row>
    <row r="245" spans="2:2">
      <c r="B245" s="50"/>
    </row>
    <row r="246" spans="2:2">
      <c r="B246" s="50"/>
    </row>
    <row r="247" spans="2:2">
      <c r="B247" s="50"/>
    </row>
    <row r="248" spans="2:2">
      <c r="B248" s="50"/>
    </row>
    <row r="249" spans="2:2">
      <c r="B249" s="50"/>
    </row>
    <row r="250" spans="2:2">
      <c r="B250" s="50"/>
    </row>
    <row r="251" spans="2:2">
      <c r="B251" s="50"/>
    </row>
    <row r="252" spans="2:2">
      <c r="B252" s="50"/>
    </row>
    <row r="253" spans="2:2">
      <c r="B253" s="50"/>
    </row>
    <row r="254" spans="2:2">
      <c r="B254" s="50"/>
    </row>
    <row r="255" spans="2:2">
      <c r="B255" s="50"/>
    </row>
    <row r="256" spans="2:2">
      <c r="B256" s="50"/>
    </row>
    <row r="257" spans="2:2">
      <c r="B257" s="50"/>
    </row>
    <row r="258" spans="2:2">
      <c r="B258" s="50"/>
    </row>
    <row r="259" spans="2:2">
      <c r="B259" s="50"/>
    </row>
    <row r="260" spans="2:2">
      <c r="B260" s="50"/>
    </row>
    <row r="261" spans="2:2">
      <c r="B261" s="50"/>
    </row>
    <row r="262" spans="2:2">
      <c r="B262" s="50"/>
    </row>
    <row r="263" spans="2:2">
      <c r="B263" s="50"/>
    </row>
    <row r="264" spans="2:2">
      <c r="B264" s="50"/>
    </row>
    <row r="265" spans="2:2">
      <c r="B265" s="50"/>
    </row>
    <row r="266" spans="2:2">
      <c r="B266" s="50"/>
    </row>
    <row r="267" spans="2:2">
      <c r="B267" s="50"/>
    </row>
    <row r="268" spans="2:2">
      <c r="B268" s="50"/>
    </row>
    <row r="269" spans="2:2">
      <c r="B269" s="50"/>
    </row>
    <row r="270" spans="2:2">
      <c r="B270" s="50"/>
    </row>
    <row r="271" spans="2:2">
      <c r="B271" s="50"/>
    </row>
    <row r="272" spans="2:2">
      <c r="B272" s="50"/>
    </row>
    <row r="273" spans="2:2">
      <c r="B273" s="50"/>
    </row>
    <row r="274" spans="2:2">
      <c r="B274" s="50"/>
    </row>
    <row r="275" spans="2:2">
      <c r="B275" s="50"/>
    </row>
    <row r="276" spans="2:2">
      <c r="B276" s="50"/>
    </row>
    <row r="277" spans="2:2">
      <c r="B277" s="50"/>
    </row>
    <row r="278" spans="2:2">
      <c r="B278" s="50"/>
    </row>
    <row r="279" spans="2:2">
      <c r="B279" s="50"/>
    </row>
    <row r="280" spans="2:2">
      <c r="B280" s="50"/>
    </row>
    <row r="281" spans="2:2">
      <c r="B281" s="50"/>
    </row>
    <row r="282" spans="2:2">
      <c r="B282" s="50"/>
    </row>
    <row r="283" spans="2:2">
      <c r="B283" s="50"/>
    </row>
    <row r="284" spans="2:2">
      <c r="B284" s="50"/>
    </row>
    <row r="285" spans="2:2">
      <c r="B285" s="50"/>
    </row>
    <row r="286" spans="2:2">
      <c r="B286" s="50"/>
    </row>
    <row r="287" spans="2:2">
      <c r="B287" s="50"/>
    </row>
    <row r="288" spans="2:2">
      <c r="B288" s="50"/>
    </row>
    <row r="289" spans="2:2">
      <c r="B289" s="50"/>
    </row>
    <row r="290" spans="2:2">
      <c r="B290" s="50"/>
    </row>
    <row r="291" spans="2:2">
      <c r="B291" s="50"/>
    </row>
    <row r="292" spans="2:2">
      <c r="B292" s="50"/>
    </row>
    <row r="293" spans="2:2">
      <c r="B293" s="50"/>
    </row>
    <row r="294" spans="2:2">
      <c r="B294" s="50"/>
    </row>
    <row r="295" spans="2:2">
      <c r="B295" s="50"/>
    </row>
    <row r="296" spans="2:2">
      <c r="B296" s="50"/>
    </row>
    <row r="297" spans="2:2">
      <c r="B297" s="50"/>
    </row>
    <row r="298" spans="2:2">
      <c r="B298" s="50"/>
    </row>
    <row r="299" spans="2:2">
      <c r="B299" s="50"/>
    </row>
    <row r="300" spans="2:2">
      <c r="B300" s="50"/>
    </row>
    <row r="301" spans="2:2">
      <c r="B301" s="50"/>
    </row>
    <row r="302" spans="2:2">
      <c r="B302" s="50"/>
    </row>
    <row r="303" spans="2:2">
      <c r="B303" s="50"/>
    </row>
    <row r="304" spans="2:2">
      <c r="B304" s="50"/>
    </row>
    <row r="305" spans="2:2">
      <c r="B305" s="50"/>
    </row>
    <row r="306" spans="2:2">
      <c r="B306" s="50"/>
    </row>
    <row r="307" spans="2:2">
      <c r="B307" s="50"/>
    </row>
    <row r="308" spans="2:2">
      <c r="B308" s="50"/>
    </row>
    <row r="309" spans="2:2">
      <c r="B309" s="50"/>
    </row>
    <row r="310" spans="2:2">
      <c r="B310" s="50"/>
    </row>
    <row r="311" spans="2:2">
      <c r="B311" s="50"/>
    </row>
    <row r="312" spans="2:2">
      <c r="B312" s="50"/>
    </row>
  </sheetData>
  <autoFilter ref="E2:AL58" xr:uid="{29D07897-E8A2-422E-AA06-650479A7A992}"/>
  <mergeCells count="1">
    <mergeCell ref="B1:B2"/>
  </mergeCells>
  <phoneticPr fontId="1"/>
  <conditionalFormatting sqref="I3:I58 AK3:AK58 P3:P58 W3:W60 AD3:AD59">
    <cfRule type="cellIs" dxfId="138" priority="2" operator="greaterThan">
      <formula>0</formula>
    </cfRule>
  </conditionalFormatting>
  <conditionalFormatting sqref="J3:J58 Q3:Q58 AL3:AL58 X3:X60 AE3:AE59">
    <cfRule type="cellIs" dxfId="137" priority="1" operator="greaterThan">
      <formula>0</formula>
    </cfRule>
  </conditionalFormatting>
  <dataValidations count="1">
    <dataValidation type="list" allowBlank="1" showInputMessage="1" showErrorMessage="1" sqref="J3:J58 AL3:AL58 Q3:Q58 X3:X60 AE3:AE59" xr:uid="{FF44A520-37E5-4EF2-9380-1EBFE3687D30}">
      <formula1>"1"</formula1>
    </dataValidation>
  </dataValidations>
  <hyperlinks>
    <hyperlink ref="B10" r:id="rId1" xr:uid="{7DBE3B9E-FEFE-48B6-8677-5D0D2A617A20}"/>
    <hyperlink ref="B14" r:id="rId2" display="05A3BRONT■田中勝也\425.承認図・詳細図\承認図　BRO　田中勝也様邸　08.19.pdf" xr:uid="{8F753F1D-F3B8-4ADF-92E9-5636345EE413}"/>
    <hyperlink ref="B15" r:id="rId3" display="05A3BRONT■田中勝也\425.承認図・詳細図\再承認図　BRO　田中勝也様邸　09.04.pdf" xr:uid="{1F70786E-F6CA-4DC0-828E-5C1DACC99FFF}"/>
    <hyperlink ref="B16" r:id="rId4" display="05A3BRONT■田中勝也\425.承認図・詳細図\再承認図　BRO　田中勝也様邸　09.05.pdf" xr:uid="{D54936A3-5FCF-4D7F-9BC0-20831D076EC9}"/>
    <hyperlink ref="B17" r:id="rId5" display="05A3BRONT■田中勝也\425.承認図・詳細図\09.21再承認図　BRO　田中勝也様邸.pdf" xr:uid="{38AA3F33-CF45-4F15-AB57-1BB6E4DCEAA4}"/>
    <hyperlink ref="B18" r:id="rId6" display="05A3BRONT■田中勝也\425.承認図・詳細図\11.14再承認図　BRO　田中勝也様邸.pdf" xr:uid="{8E184F5F-DCF4-4FA4-9EC4-2418D2995F46}"/>
    <hyperlink ref="B19" r:id="rId7" display="05A3BRONT■田中勝也\425.承認図・詳細図\11.30再承認図　BRO　田中勝也様邸.pdf" xr:uid="{B10DA9B9-33A9-49B1-A614-CF12FE83545B}"/>
  </hyperlinks>
  <pageMargins left="0.7" right="0.7" top="0.75" bottom="0.75" header="0.3" footer="0.3"/>
  <drawing r:id="rId8"/>
  <legacyDrawing r:id="rId9"/>
  <mc:AlternateContent xmlns:mc="http://schemas.openxmlformats.org/markup-compatibility/2006">
    <mc:Choice Requires="x14">
      <controls>
        <mc:AlternateContent xmlns:mc="http://schemas.openxmlformats.org/markup-compatibility/2006">
          <mc:Choice Requires="x14">
            <control shapeId="9221" r:id="rId10" name="Button 5">
              <controlPr defaultSize="0" print="0" autoFill="0" autoPict="0" macro="[0]!getFileDownloadList2">
                <anchor moveWithCells="1" sizeWithCells="1">
                  <from>
                    <xdr:col>1</xdr:col>
                    <xdr:colOff>466725</xdr:colOff>
                    <xdr:row>4</xdr:row>
                    <xdr:rowOff>114300</xdr:rowOff>
                  </from>
                  <to>
                    <xdr:col>1</xdr:col>
                    <xdr:colOff>2857500</xdr:colOff>
                    <xdr:row>7</xdr:row>
                    <xdr:rowOff>76200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267FA8-021D-4D0E-85CC-C8565A18603A}">
  <sheetPr codeName="Sheet2">
    <tabColor theme="1"/>
  </sheetPr>
  <dimension ref="A1:MV178"/>
  <sheetViews>
    <sheetView topLeftCell="A46" workbookViewId="0">
      <selection activeCell="A113" sqref="A113"/>
    </sheetView>
  </sheetViews>
  <sheetFormatPr defaultRowHeight="14.25"/>
  <cols>
    <col min="1" max="1" width="9" style="1"/>
    <col min="2" max="2" width="21.625" customWidth="1"/>
    <col min="3" max="3" width="15.375" customWidth="1"/>
    <col min="4" max="6" width="8" style="1" customWidth="1"/>
    <col min="232" max="232" width="16.5" customWidth="1"/>
  </cols>
  <sheetData>
    <row r="1" spans="1:360">
      <c r="B1">
        <f>COLUMN()</f>
        <v>2</v>
      </c>
      <c r="C1">
        <f>COLUMN()</f>
        <v>3</v>
      </c>
      <c r="D1">
        <f>COLUMN()</f>
        <v>4</v>
      </c>
      <c r="E1">
        <f>COLUMN()</f>
        <v>5</v>
      </c>
      <c r="F1">
        <f>COLUMN()</f>
        <v>6</v>
      </c>
      <c r="L1">
        <f>COLUMN()</f>
        <v>12</v>
      </c>
      <c r="M1">
        <f>COLUMN()</f>
        <v>13</v>
      </c>
      <c r="N1">
        <f>COLUMN()</f>
        <v>14</v>
      </c>
      <c r="O1">
        <f>COLUMN()</f>
        <v>15</v>
      </c>
      <c r="P1">
        <f>COLUMN()</f>
        <v>16</v>
      </c>
      <c r="Q1">
        <f>COLUMN()</f>
        <v>17</v>
      </c>
      <c r="R1">
        <f>COLUMN()</f>
        <v>18</v>
      </c>
      <c r="S1">
        <f>COLUMN()</f>
        <v>19</v>
      </c>
      <c r="T1">
        <f>COLUMN()</f>
        <v>20</v>
      </c>
      <c r="U1">
        <f>COLUMN()</f>
        <v>21</v>
      </c>
      <c r="V1">
        <f>COLUMN()</f>
        <v>22</v>
      </c>
      <c r="W1">
        <f>COLUMN()</f>
        <v>23</v>
      </c>
      <c r="X1">
        <f>COLUMN()</f>
        <v>24</v>
      </c>
      <c r="Y1">
        <f>COLUMN()</f>
        <v>25</v>
      </c>
      <c r="Z1">
        <f>COLUMN()</f>
        <v>26</v>
      </c>
      <c r="AA1">
        <f>COLUMN()</f>
        <v>27</v>
      </c>
      <c r="AB1">
        <f>COLUMN()</f>
        <v>28</v>
      </c>
      <c r="AC1">
        <f>COLUMN()</f>
        <v>29</v>
      </c>
      <c r="AD1">
        <f>COLUMN()</f>
        <v>30</v>
      </c>
      <c r="AE1">
        <f>COLUMN()</f>
        <v>31</v>
      </c>
      <c r="AF1">
        <f>COLUMN()</f>
        <v>32</v>
      </c>
      <c r="AG1">
        <f>COLUMN()</f>
        <v>33</v>
      </c>
      <c r="AH1">
        <f>COLUMN()</f>
        <v>34</v>
      </c>
      <c r="AI1">
        <f>COLUMN()</f>
        <v>35</v>
      </c>
      <c r="AJ1">
        <f>COLUMN()</f>
        <v>36</v>
      </c>
      <c r="AK1">
        <f>COLUMN()</f>
        <v>37</v>
      </c>
      <c r="AL1">
        <f>COLUMN()</f>
        <v>38</v>
      </c>
      <c r="AM1">
        <f>COLUMN()</f>
        <v>39</v>
      </c>
      <c r="AN1">
        <f>COLUMN()</f>
        <v>40</v>
      </c>
      <c r="AO1">
        <f>COLUMN()</f>
        <v>41</v>
      </c>
      <c r="AP1">
        <f>COLUMN()</f>
        <v>42</v>
      </c>
      <c r="AQ1">
        <f>COLUMN()</f>
        <v>43</v>
      </c>
      <c r="AR1">
        <f>COLUMN()</f>
        <v>44</v>
      </c>
      <c r="AS1">
        <f>COLUMN()</f>
        <v>45</v>
      </c>
      <c r="AT1">
        <f>COLUMN()</f>
        <v>46</v>
      </c>
      <c r="AU1">
        <f>COLUMN()</f>
        <v>47</v>
      </c>
      <c r="AV1">
        <f>COLUMN()</f>
        <v>48</v>
      </c>
      <c r="AW1">
        <f>COLUMN()</f>
        <v>49</v>
      </c>
      <c r="AX1">
        <f>COLUMN()</f>
        <v>50</v>
      </c>
      <c r="AY1">
        <f>COLUMN()</f>
        <v>51</v>
      </c>
      <c r="AZ1">
        <f>COLUMN()</f>
        <v>52</v>
      </c>
      <c r="BA1">
        <f>COLUMN()</f>
        <v>53</v>
      </c>
      <c r="BB1">
        <f>COLUMN()</f>
        <v>54</v>
      </c>
      <c r="BC1">
        <f>COLUMN()</f>
        <v>55</v>
      </c>
      <c r="BD1">
        <f>COLUMN()</f>
        <v>56</v>
      </c>
      <c r="BE1">
        <f>COLUMN()</f>
        <v>57</v>
      </c>
      <c r="BF1">
        <f>COLUMN()</f>
        <v>58</v>
      </c>
      <c r="BG1">
        <f>COLUMN()</f>
        <v>59</v>
      </c>
      <c r="BH1">
        <f>COLUMN()</f>
        <v>60</v>
      </c>
      <c r="BI1">
        <f>COLUMN()</f>
        <v>61</v>
      </c>
      <c r="BJ1">
        <f>COLUMN()</f>
        <v>62</v>
      </c>
      <c r="BK1">
        <f>COLUMN()</f>
        <v>63</v>
      </c>
      <c r="BL1">
        <f>COLUMN()</f>
        <v>64</v>
      </c>
      <c r="BM1">
        <f>COLUMN()</f>
        <v>65</v>
      </c>
      <c r="BN1">
        <f>COLUMN()</f>
        <v>66</v>
      </c>
      <c r="BO1">
        <f>COLUMN()</f>
        <v>67</v>
      </c>
      <c r="BP1">
        <f>COLUMN()</f>
        <v>68</v>
      </c>
      <c r="BQ1">
        <f>COLUMN()</f>
        <v>69</v>
      </c>
      <c r="BR1">
        <f>COLUMN()</f>
        <v>70</v>
      </c>
      <c r="BS1">
        <f>COLUMN()</f>
        <v>71</v>
      </c>
      <c r="BT1">
        <f>COLUMN()</f>
        <v>72</v>
      </c>
      <c r="BU1">
        <f>COLUMN()</f>
        <v>73</v>
      </c>
      <c r="BV1">
        <f>COLUMN()</f>
        <v>74</v>
      </c>
      <c r="BW1">
        <f>COLUMN()</f>
        <v>75</v>
      </c>
      <c r="BX1">
        <f>COLUMN()</f>
        <v>76</v>
      </c>
      <c r="BY1">
        <f>COLUMN()</f>
        <v>77</v>
      </c>
      <c r="BZ1">
        <f>COLUMN()</f>
        <v>78</v>
      </c>
      <c r="CA1">
        <f>COLUMN()</f>
        <v>79</v>
      </c>
      <c r="CB1">
        <f>COLUMN()</f>
        <v>80</v>
      </c>
      <c r="CC1">
        <f>COLUMN()</f>
        <v>81</v>
      </c>
      <c r="CD1">
        <f>COLUMN()</f>
        <v>82</v>
      </c>
      <c r="CE1">
        <f>COLUMN()</f>
        <v>83</v>
      </c>
      <c r="CF1">
        <f>COLUMN()</f>
        <v>84</v>
      </c>
      <c r="CG1">
        <f>COLUMN()</f>
        <v>85</v>
      </c>
      <c r="CH1">
        <f>COLUMN()</f>
        <v>86</v>
      </c>
      <c r="CI1">
        <f>COLUMN()</f>
        <v>87</v>
      </c>
      <c r="CJ1">
        <f>COLUMN()</f>
        <v>88</v>
      </c>
      <c r="CK1">
        <f>COLUMN()</f>
        <v>89</v>
      </c>
      <c r="CL1">
        <f>COLUMN()</f>
        <v>90</v>
      </c>
      <c r="CM1">
        <f>COLUMN()</f>
        <v>91</v>
      </c>
      <c r="CN1">
        <f>COLUMN()</f>
        <v>92</v>
      </c>
      <c r="CO1">
        <f>COLUMN()</f>
        <v>93</v>
      </c>
      <c r="CP1">
        <f>COLUMN()</f>
        <v>94</v>
      </c>
      <c r="CQ1">
        <f>COLUMN()</f>
        <v>95</v>
      </c>
      <c r="CR1">
        <f>COLUMN()</f>
        <v>96</v>
      </c>
      <c r="CS1">
        <f>COLUMN()</f>
        <v>97</v>
      </c>
      <c r="CT1">
        <f>COLUMN()</f>
        <v>98</v>
      </c>
      <c r="CU1">
        <f>COLUMN()</f>
        <v>99</v>
      </c>
      <c r="CV1">
        <f>COLUMN()</f>
        <v>100</v>
      </c>
      <c r="CW1">
        <f>COLUMN()</f>
        <v>101</v>
      </c>
      <c r="CX1">
        <f>COLUMN()</f>
        <v>102</v>
      </c>
      <c r="CY1">
        <f>COLUMN()</f>
        <v>103</v>
      </c>
      <c r="CZ1">
        <f>COLUMN()</f>
        <v>104</v>
      </c>
      <c r="DA1">
        <f>COLUMN()</f>
        <v>105</v>
      </c>
      <c r="DB1">
        <f>COLUMN()</f>
        <v>106</v>
      </c>
      <c r="DC1">
        <f>COLUMN()</f>
        <v>107</v>
      </c>
      <c r="DD1">
        <f>COLUMN()</f>
        <v>108</v>
      </c>
      <c r="DE1">
        <f>COLUMN()</f>
        <v>109</v>
      </c>
      <c r="DF1">
        <f>COLUMN()</f>
        <v>110</v>
      </c>
      <c r="DG1">
        <f>COLUMN()</f>
        <v>111</v>
      </c>
      <c r="DH1">
        <f>COLUMN()</f>
        <v>112</v>
      </c>
      <c r="DI1">
        <f>COLUMN()</f>
        <v>113</v>
      </c>
      <c r="DJ1">
        <f>COLUMN()</f>
        <v>114</v>
      </c>
      <c r="DK1">
        <f>COLUMN()</f>
        <v>115</v>
      </c>
      <c r="DL1">
        <f>COLUMN()</f>
        <v>116</v>
      </c>
      <c r="DM1">
        <f>COLUMN()</f>
        <v>117</v>
      </c>
      <c r="DN1">
        <f>COLUMN()</f>
        <v>118</v>
      </c>
      <c r="DO1">
        <f>COLUMN()</f>
        <v>119</v>
      </c>
      <c r="DP1">
        <f>COLUMN()</f>
        <v>120</v>
      </c>
      <c r="DQ1">
        <f>COLUMN()</f>
        <v>121</v>
      </c>
      <c r="DR1">
        <f>COLUMN()</f>
        <v>122</v>
      </c>
      <c r="DS1">
        <f>COLUMN()</f>
        <v>123</v>
      </c>
      <c r="DT1">
        <f>COLUMN()</f>
        <v>124</v>
      </c>
      <c r="DU1">
        <f>COLUMN()</f>
        <v>125</v>
      </c>
      <c r="DV1">
        <f>COLUMN()</f>
        <v>126</v>
      </c>
      <c r="DW1">
        <f>COLUMN()</f>
        <v>127</v>
      </c>
      <c r="DX1">
        <f>COLUMN()</f>
        <v>128</v>
      </c>
      <c r="DY1">
        <f>COLUMN()</f>
        <v>129</v>
      </c>
      <c r="DZ1">
        <f>COLUMN()</f>
        <v>130</v>
      </c>
      <c r="EA1">
        <f>COLUMN()</f>
        <v>131</v>
      </c>
      <c r="EB1">
        <f>COLUMN()</f>
        <v>132</v>
      </c>
      <c r="EC1">
        <f>COLUMN()</f>
        <v>133</v>
      </c>
      <c r="ED1">
        <f>COLUMN()</f>
        <v>134</v>
      </c>
      <c r="EE1">
        <f>COLUMN()</f>
        <v>135</v>
      </c>
      <c r="EF1">
        <f>COLUMN()</f>
        <v>136</v>
      </c>
      <c r="EG1">
        <f>COLUMN()</f>
        <v>137</v>
      </c>
      <c r="EH1">
        <f>COLUMN()</f>
        <v>138</v>
      </c>
      <c r="EI1">
        <f>COLUMN()</f>
        <v>139</v>
      </c>
      <c r="EJ1">
        <f>COLUMN()</f>
        <v>140</v>
      </c>
      <c r="EK1">
        <f>COLUMN()</f>
        <v>141</v>
      </c>
      <c r="EL1">
        <f>COLUMN()</f>
        <v>142</v>
      </c>
      <c r="EM1">
        <f>COLUMN()</f>
        <v>143</v>
      </c>
      <c r="EN1">
        <f>COLUMN()</f>
        <v>144</v>
      </c>
      <c r="EO1">
        <f>COLUMN()</f>
        <v>145</v>
      </c>
      <c r="EP1">
        <f>COLUMN()</f>
        <v>146</v>
      </c>
      <c r="EQ1">
        <f>COLUMN()</f>
        <v>147</v>
      </c>
      <c r="ER1">
        <f>COLUMN()</f>
        <v>148</v>
      </c>
      <c r="ES1">
        <f>COLUMN()</f>
        <v>149</v>
      </c>
      <c r="ET1">
        <f>COLUMN()</f>
        <v>150</v>
      </c>
      <c r="EU1">
        <f>COLUMN()</f>
        <v>151</v>
      </c>
      <c r="EV1">
        <f>COLUMN()</f>
        <v>152</v>
      </c>
      <c r="EW1">
        <f>COLUMN()</f>
        <v>153</v>
      </c>
      <c r="EX1">
        <f>COLUMN()</f>
        <v>154</v>
      </c>
      <c r="EY1">
        <f>COLUMN()</f>
        <v>155</v>
      </c>
      <c r="EZ1">
        <f>COLUMN()</f>
        <v>156</v>
      </c>
      <c r="FA1">
        <f>COLUMN()</f>
        <v>157</v>
      </c>
      <c r="FB1">
        <f>COLUMN()</f>
        <v>158</v>
      </c>
      <c r="FC1">
        <f>COLUMN()</f>
        <v>159</v>
      </c>
      <c r="FD1">
        <f>COLUMN()</f>
        <v>160</v>
      </c>
      <c r="FE1">
        <f>COLUMN()</f>
        <v>161</v>
      </c>
      <c r="FF1">
        <f>COLUMN()</f>
        <v>162</v>
      </c>
      <c r="FG1">
        <f>COLUMN()</f>
        <v>163</v>
      </c>
      <c r="FH1">
        <f>COLUMN()</f>
        <v>164</v>
      </c>
      <c r="FI1">
        <f>COLUMN()</f>
        <v>165</v>
      </c>
      <c r="FJ1">
        <f>COLUMN()</f>
        <v>166</v>
      </c>
      <c r="FK1">
        <f>COLUMN()</f>
        <v>167</v>
      </c>
      <c r="FL1">
        <f>COLUMN()</f>
        <v>168</v>
      </c>
      <c r="FM1">
        <f>COLUMN()</f>
        <v>169</v>
      </c>
      <c r="FN1">
        <f>COLUMN()</f>
        <v>170</v>
      </c>
      <c r="FO1">
        <f>COLUMN()</f>
        <v>171</v>
      </c>
      <c r="FP1">
        <f>COLUMN()</f>
        <v>172</v>
      </c>
      <c r="FQ1">
        <f>COLUMN()</f>
        <v>173</v>
      </c>
      <c r="FR1">
        <f>COLUMN()</f>
        <v>174</v>
      </c>
      <c r="FS1">
        <f>COLUMN()</f>
        <v>175</v>
      </c>
      <c r="FT1">
        <f>COLUMN()</f>
        <v>176</v>
      </c>
      <c r="FU1">
        <f>COLUMN()</f>
        <v>177</v>
      </c>
      <c r="FV1">
        <f>COLUMN()</f>
        <v>178</v>
      </c>
      <c r="FW1">
        <f>COLUMN()</f>
        <v>179</v>
      </c>
      <c r="FX1">
        <f>COLUMN()</f>
        <v>180</v>
      </c>
      <c r="FY1">
        <f>COLUMN()</f>
        <v>181</v>
      </c>
      <c r="FZ1">
        <f>COLUMN()</f>
        <v>182</v>
      </c>
      <c r="GA1">
        <f>COLUMN()</f>
        <v>183</v>
      </c>
      <c r="GB1">
        <f>COLUMN()</f>
        <v>184</v>
      </c>
      <c r="GC1">
        <f>COLUMN()</f>
        <v>185</v>
      </c>
      <c r="GD1">
        <f>COLUMN()</f>
        <v>186</v>
      </c>
      <c r="GE1">
        <f>COLUMN()</f>
        <v>187</v>
      </c>
      <c r="GF1">
        <f>COLUMN()</f>
        <v>188</v>
      </c>
      <c r="GG1">
        <f>COLUMN()</f>
        <v>189</v>
      </c>
      <c r="GH1">
        <f>COLUMN()</f>
        <v>190</v>
      </c>
      <c r="GI1">
        <f>COLUMN()</f>
        <v>191</v>
      </c>
      <c r="GJ1">
        <f>COLUMN()</f>
        <v>192</v>
      </c>
      <c r="GK1">
        <f>COLUMN()</f>
        <v>193</v>
      </c>
      <c r="GL1">
        <f>COLUMN()</f>
        <v>194</v>
      </c>
      <c r="GM1">
        <f>COLUMN()</f>
        <v>195</v>
      </c>
      <c r="GN1">
        <f>COLUMN()</f>
        <v>196</v>
      </c>
      <c r="GO1">
        <f>COLUMN()</f>
        <v>197</v>
      </c>
      <c r="GP1">
        <f>COLUMN()</f>
        <v>198</v>
      </c>
      <c r="GQ1">
        <f>COLUMN()</f>
        <v>199</v>
      </c>
      <c r="GR1">
        <f>COLUMN()</f>
        <v>200</v>
      </c>
      <c r="GS1">
        <f>COLUMN()</f>
        <v>201</v>
      </c>
      <c r="GT1">
        <f>COLUMN()</f>
        <v>202</v>
      </c>
      <c r="GU1">
        <f>COLUMN()</f>
        <v>203</v>
      </c>
      <c r="GV1">
        <f>COLUMN()</f>
        <v>204</v>
      </c>
      <c r="GW1">
        <f>COLUMN()</f>
        <v>205</v>
      </c>
      <c r="GX1">
        <f>COLUMN()</f>
        <v>206</v>
      </c>
      <c r="GY1">
        <f>COLUMN()</f>
        <v>207</v>
      </c>
      <c r="GZ1">
        <f>COLUMN()</f>
        <v>208</v>
      </c>
      <c r="HA1">
        <f>COLUMN()</f>
        <v>209</v>
      </c>
      <c r="HB1">
        <f>COLUMN()</f>
        <v>210</v>
      </c>
      <c r="HC1">
        <f>COLUMN()</f>
        <v>211</v>
      </c>
      <c r="HD1">
        <f>COLUMN()</f>
        <v>212</v>
      </c>
      <c r="HE1">
        <f>COLUMN()</f>
        <v>213</v>
      </c>
      <c r="HF1">
        <f>COLUMN()</f>
        <v>214</v>
      </c>
      <c r="HG1">
        <f>COLUMN()</f>
        <v>215</v>
      </c>
      <c r="HH1">
        <f>COLUMN()</f>
        <v>216</v>
      </c>
      <c r="HI1">
        <f>COLUMN()</f>
        <v>217</v>
      </c>
      <c r="HJ1">
        <f>COLUMN()</f>
        <v>218</v>
      </c>
      <c r="HK1">
        <f>COLUMN()</f>
        <v>219</v>
      </c>
      <c r="HL1">
        <f>COLUMN()</f>
        <v>220</v>
      </c>
      <c r="HM1">
        <f>COLUMN()</f>
        <v>221</v>
      </c>
      <c r="HN1">
        <f>COLUMN()</f>
        <v>222</v>
      </c>
      <c r="HO1">
        <f>COLUMN()</f>
        <v>223</v>
      </c>
      <c r="HP1">
        <f>COLUMN()</f>
        <v>224</v>
      </c>
      <c r="HQ1">
        <f>COLUMN()</f>
        <v>225</v>
      </c>
      <c r="HR1">
        <f>COLUMN()</f>
        <v>226</v>
      </c>
      <c r="HS1">
        <f>COLUMN()</f>
        <v>227</v>
      </c>
      <c r="HT1">
        <f>COLUMN()</f>
        <v>228</v>
      </c>
      <c r="HU1">
        <f>COLUMN()</f>
        <v>229</v>
      </c>
      <c r="HV1">
        <f>COLUMN()</f>
        <v>230</v>
      </c>
      <c r="HW1">
        <f>COLUMN()</f>
        <v>231</v>
      </c>
      <c r="HX1">
        <f>COLUMN()</f>
        <v>232</v>
      </c>
      <c r="HY1">
        <f>COLUMN()</f>
        <v>233</v>
      </c>
      <c r="HZ1">
        <f>COLUMN()</f>
        <v>234</v>
      </c>
      <c r="IA1">
        <f>COLUMN()</f>
        <v>235</v>
      </c>
      <c r="IB1">
        <f>COLUMN()</f>
        <v>236</v>
      </c>
      <c r="IC1">
        <f>COLUMN()</f>
        <v>237</v>
      </c>
      <c r="ID1">
        <f>COLUMN()</f>
        <v>238</v>
      </c>
      <c r="IE1">
        <f>COLUMN()</f>
        <v>239</v>
      </c>
      <c r="IF1">
        <f>COLUMN()</f>
        <v>240</v>
      </c>
      <c r="IG1">
        <f>COLUMN()</f>
        <v>241</v>
      </c>
      <c r="IH1">
        <f>COLUMN()</f>
        <v>242</v>
      </c>
      <c r="II1">
        <f>COLUMN()</f>
        <v>243</v>
      </c>
      <c r="IJ1">
        <f>COLUMN()</f>
        <v>244</v>
      </c>
      <c r="IK1">
        <f>COLUMN()</f>
        <v>245</v>
      </c>
      <c r="IL1">
        <f>COLUMN()</f>
        <v>246</v>
      </c>
      <c r="IM1">
        <f>COLUMN()</f>
        <v>247</v>
      </c>
      <c r="IN1">
        <f>COLUMN()</f>
        <v>248</v>
      </c>
      <c r="IO1">
        <f>COLUMN()</f>
        <v>249</v>
      </c>
      <c r="IP1">
        <f>COLUMN()</f>
        <v>250</v>
      </c>
      <c r="IQ1">
        <f>COLUMN()</f>
        <v>251</v>
      </c>
      <c r="IR1">
        <f>COLUMN()</f>
        <v>252</v>
      </c>
      <c r="IS1">
        <f>COLUMN()</f>
        <v>253</v>
      </c>
      <c r="IT1">
        <f>COLUMN()</f>
        <v>254</v>
      </c>
      <c r="IU1">
        <f>COLUMN()</f>
        <v>255</v>
      </c>
      <c r="IV1">
        <f>COLUMN()</f>
        <v>256</v>
      </c>
      <c r="IW1">
        <f>COLUMN()</f>
        <v>257</v>
      </c>
      <c r="IX1">
        <f>COLUMN()</f>
        <v>258</v>
      </c>
      <c r="IY1">
        <f>COLUMN()</f>
        <v>259</v>
      </c>
      <c r="IZ1">
        <f>COLUMN()</f>
        <v>260</v>
      </c>
      <c r="JA1">
        <f>COLUMN()</f>
        <v>261</v>
      </c>
      <c r="JB1">
        <f>COLUMN()</f>
        <v>262</v>
      </c>
      <c r="JC1">
        <f>COLUMN()</f>
        <v>263</v>
      </c>
      <c r="JD1">
        <f>COLUMN()</f>
        <v>264</v>
      </c>
      <c r="JE1">
        <f>COLUMN()</f>
        <v>265</v>
      </c>
      <c r="JF1">
        <f>COLUMN()</f>
        <v>266</v>
      </c>
      <c r="JG1">
        <f>COLUMN()</f>
        <v>267</v>
      </c>
      <c r="JH1">
        <f>COLUMN()</f>
        <v>268</v>
      </c>
      <c r="JI1">
        <f>COLUMN()</f>
        <v>269</v>
      </c>
      <c r="JJ1">
        <f>COLUMN()</f>
        <v>270</v>
      </c>
      <c r="JK1">
        <f>COLUMN()</f>
        <v>271</v>
      </c>
      <c r="JL1">
        <f>COLUMN()</f>
        <v>272</v>
      </c>
      <c r="JM1">
        <f>COLUMN()</f>
        <v>273</v>
      </c>
      <c r="JN1">
        <f>COLUMN()</f>
        <v>274</v>
      </c>
      <c r="JO1">
        <f>COLUMN()</f>
        <v>275</v>
      </c>
      <c r="JP1">
        <f>COLUMN()</f>
        <v>276</v>
      </c>
      <c r="JQ1">
        <f>COLUMN()</f>
        <v>277</v>
      </c>
      <c r="JR1">
        <f>COLUMN()</f>
        <v>278</v>
      </c>
      <c r="JS1">
        <f>COLUMN()</f>
        <v>279</v>
      </c>
      <c r="JT1">
        <f>COLUMN()</f>
        <v>280</v>
      </c>
      <c r="JU1">
        <f>COLUMN()</f>
        <v>281</v>
      </c>
      <c r="JV1">
        <f>COLUMN()</f>
        <v>282</v>
      </c>
      <c r="JW1">
        <f>COLUMN()</f>
        <v>283</v>
      </c>
      <c r="JX1">
        <f>COLUMN()</f>
        <v>284</v>
      </c>
      <c r="JY1">
        <f>COLUMN()</f>
        <v>285</v>
      </c>
      <c r="JZ1">
        <f>COLUMN()</f>
        <v>286</v>
      </c>
      <c r="KA1">
        <f>COLUMN()</f>
        <v>287</v>
      </c>
      <c r="KB1">
        <f>COLUMN()</f>
        <v>288</v>
      </c>
      <c r="KC1">
        <f>COLUMN()</f>
        <v>289</v>
      </c>
      <c r="KD1">
        <f>COLUMN()</f>
        <v>290</v>
      </c>
      <c r="KE1">
        <f>COLUMN()</f>
        <v>291</v>
      </c>
      <c r="KF1">
        <f>COLUMN()</f>
        <v>292</v>
      </c>
      <c r="KG1">
        <f>COLUMN()</f>
        <v>293</v>
      </c>
      <c r="KH1">
        <f>COLUMN()</f>
        <v>294</v>
      </c>
      <c r="KI1">
        <f>COLUMN()</f>
        <v>295</v>
      </c>
      <c r="KJ1">
        <f>COLUMN()</f>
        <v>296</v>
      </c>
      <c r="KK1">
        <f>COLUMN()</f>
        <v>297</v>
      </c>
      <c r="KL1">
        <f>COLUMN()</f>
        <v>298</v>
      </c>
      <c r="KM1">
        <f>COLUMN()</f>
        <v>299</v>
      </c>
      <c r="KN1">
        <f>COLUMN()</f>
        <v>300</v>
      </c>
      <c r="KO1">
        <f>COLUMN()</f>
        <v>301</v>
      </c>
      <c r="KP1">
        <f>COLUMN()</f>
        <v>302</v>
      </c>
      <c r="KQ1">
        <f>COLUMN()</f>
        <v>303</v>
      </c>
      <c r="KR1">
        <f>COLUMN()</f>
        <v>304</v>
      </c>
      <c r="KS1">
        <f>COLUMN()</f>
        <v>305</v>
      </c>
      <c r="KT1">
        <f>COLUMN()</f>
        <v>306</v>
      </c>
      <c r="KU1">
        <f>COLUMN()</f>
        <v>307</v>
      </c>
      <c r="KV1">
        <f>COLUMN()</f>
        <v>308</v>
      </c>
      <c r="KW1">
        <f>COLUMN()</f>
        <v>309</v>
      </c>
      <c r="KX1">
        <f>COLUMN()</f>
        <v>310</v>
      </c>
      <c r="KY1">
        <f>COLUMN()</f>
        <v>311</v>
      </c>
      <c r="KZ1">
        <f>COLUMN()</f>
        <v>312</v>
      </c>
      <c r="LA1">
        <f>COLUMN()</f>
        <v>313</v>
      </c>
      <c r="LB1">
        <f>COLUMN()</f>
        <v>314</v>
      </c>
      <c r="LC1">
        <f>COLUMN()</f>
        <v>315</v>
      </c>
      <c r="LD1">
        <f>COLUMN()</f>
        <v>316</v>
      </c>
      <c r="LE1">
        <f>COLUMN()</f>
        <v>317</v>
      </c>
      <c r="LF1">
        <f>COLUMN()</f>
        <v>318</v>
      </c>
      <c r="LG1">
        <f>COLUMN()</f>
        <v>319</v>
      </c>
      <c r="LH1">
        <f>COLUMN()</f>
        <v>320</v>
      </c>
      <c r="LI1">
        <f>COLUMN()</f>
        <v>321</v>
      </c>
      <c r="LJ1">
        <f>COLUMN()</f>
        <v>322</v>
      </c>
      <c r="LK1">
        <f>COLUMN()</f>
        <v>323</v>
      </c>
      <c r="LL1">
        <f>COLUMN()</f>
        <v>324</v>
      </c>
      <c r="LM1">
        <f>COLUMN()</f>
        <v>325</v>
      </c>
      <c r="LN1">
        <f>COLUMN()</f>
        <v>326</v>
      </c>
      <c r="LO1">
        <f>COLUMN()</f>
        <v>327</v>
      </c>
      <c r="LP1">
        <f>COLUMN()</f>
        <v>328</v>
      </c>
      <c r="LQ1">
        <f>COLUMN()</f>
        <v>329</v>
      </c>
      <c r="LR1">
        <f>COLUMN()</f>
        <v>330</v>
      </c>
      <c r="LS1">
        <f>COLUMN()</f>
        <v>331</v>
      </c>
      <c r="LT1">
        <f>COLUMN()</f>
        <v>332</v>
      </c>
      <c r="LU1">
        <f>COLUMN()</f>
        <v>333</v>
      </c>
      <c r="LV1">
        <f>COLUMN()</f>
        <v>334</v>
      </c>
      <c r="LW1">
        <f>COLUMN()</f>
        <v>335</v>
      </c>
      <c r="LX1">
        <f>COLUMN()</f>
        <v>336</v>
      </c>
      <c r="LY1">
        <f>COLUMN()</f>
        <v>337</v>
      </c>
      <c r="LZ1">
        <f>COLUMN()</f>
        <v>338</v>
      </c>
      <c r="MA1">
        <f>COLUMN()</f>
        <v>339</v>
      </c>
      <c r="MB1">
        <f>COLUMN()</f>
        <v>340</v>
      </c>
      <c r="MC1">
        <f>COLUMN()</f>
        <v>341</v>
      </c>
      <c r="MD1">
        <f>COLUMN()</f>
        <v>342</v>
      </c>
      <c r="ME1">
        <f>COLUMN()</f>
        <v>343</v>
      </c>
      <c r="MF1">
        <f>COLUMN()</f>
        <v>344</v>
      </c>
      <c r="MG1">
        <f>COLUMN()</f>
        <v>345</v>
      </c>
      <c r="MH1">
        <f>COLUMN()</f>
        <v>346</v>
      </c>
      <c r="MI1">
        <f>COLUMN()</f>
        <v>347</v>
      </c>
      <c r="MJ1">
        <f>COLUMN()</f>
        <v>348</v>
      </c>
      <c r="MK1">
        <f>COLUMN()</f>
        <v>349</v>
      </c>
      <c r="ML1">
        <f>COLUMN()</f>
        <v>350</v>
      </c>
      <c r="MM1">
        <f>COLUMN()</f>
        <v>351</v>
      </c>
      <c r="MN1">
        <f>COLUMN()</f>
        <v>352</v>
      </c>
      <c r="MO1">
        <f>COLUMN()</f>
        <v>353</v>
      </c>
      <c r="MP1">
        <f>COLUMN()</f>
        <v>354</v>
      </c>
      <c r="MQ1">
        <f>COLUMN()</f>
        <v>355</v>
      </c>
      <c r="MR1">
        <f>COLUMN()</f>
        <v>356</v>
      </c>
      <c r="MS1">
        <f>COLUMN()</f>
        <v>357</v>
      </c>
      <c r="MT1">
        <f>COLUMN()</f>
        <v>358</v>
      </c>
      <c r="MU1">
        <f>COLUMN()</f>
        <v>359</v>
      </c>
      <c r="MV1">
        <f>COLUMN()</f>
        <v>360</v>
      </c>
    </row>
    <row r="2" spans="1:360">
      <c r="L2" t="s">
        <v>1463</v>
      </c>
      <c r="N2" t="s">
        <v>1464</v>
      </c>
      <c r="P2" t="s">
        <v>1465</v>
      </c>
      <c r="R2" t="s">
        <v>1466</v>
      </c>
      <c r="T2" t="s">
        <v>1467</v>
      </c>
      <c r="V2" t="s">
        <v>1468</v>
      </c>
      <c r="X2" t="s">
        <v>1471</v>
      </c>
      <c r="Z2" t="s">
        <v>1472</v>
      </c>
      <c r="AB2" t="s">
        <v>1473</v>
      </c>
      <c r="AD2" t="s">
        <v>1474</v>
      </c>
      <c r="AF2" t="s">
        <v>1475</v>
      </c>
      <c r="AH2" t="s">
        <v>1476</v>
      </c>
      <c r="AJ2" t="s">
        <v>1479</v>
      </c>
      <c r="AL2" t="s">
        <v>1480</v>
      </c>
      <c r="AN2" t="s">
        <v>1483</v>
      </c>
      <c r="AP2" t="s">
        <v>1484</v>
      </c>
      <c r="AR2" t="s">
        <v>1486</v>
      </c>
      <c r="AT2" t="s">
        <v>1487</v>
      </c>
      <c r="AV2" t="s">
        <v>1488</v>
      </c>
      <c r="AX2" t="s">
        <v>1489</v>
      </c>
      <c r="AZ2" t="s">
        <v>1490</v>
      </c>
      <c r="BB2" t="s">
        <v>1491</v>
      </c>
      <c r="BD2" t="s">
        <v>1492</v>
      </c>
      <c r="BF2" t="s">
        <v>1493</v>
      </c>
      <c r="BH2" t="s">
        <v>1494</v>
      </c>
      <c r="BJ2" t="s">
        <v>1497</v>
      </c>
      <c r="BL2" t="s">
        <v>1500</v>
      </c>
      <c r="BN2" t="s">
        <v>1501</v>
      </c>
      <c r="BP2" t="s">
        <v>1502</v>
      </c>
      <c r="BR2" t="s">
        <v>1503</v>
      </c>
      <c r="BT2" t="s">
        <v>1506</v>
      </c>
      <c r="BV2" t="s">
        <v>1507</v>
      </c>
      <c r="BX2" t="s">
        <v>1508</v>
      </c>
      <c r="BZ2" t="s">
        <v>1509</v>
      </c>
      <c r="CB2" t="s">
        <v>1510</v>
      </c>
      <c r="CD2" t="s">
        <v>1511</v>
      </c>
      <c r="CF2" t="s">
        <v>1512</v>
      </c>
      <c r="CH2" t="s">
        <v>1515</v>
      </c>
      <c r="CJ2" t="s">
        <v>1516</v>
      </c>
      <c r="CL2" t="s">
        <v>1517</v>
      </c>
      <c r="CN2" t="s">
        <v>1520</v>
      </c>
      <c r="CP2" t="s">
        <v>1521</v>
      </c>
      <c r="CR2" t="s">
        <v>1522</v>
      </c>
      <c r="CT2" t="s">
        <v>1523</v>
      </c>
      <c r="CV2" t="s">
        <v>1527</v>
      </c>
      <c r="CX2" t="s">
        <v>1528</v>
      </c>
      <c r="CZ2" t="s">
        <v>1529</v>
      </c>
      <c r="DB2" t="s">
        <v>1530</v>
      </c>
      <c r="DD2" t="s">
        <v>1533</v>
      </c>
      <c r="DF2" t="s">
        <v>1534</v>
      </c>
      <c r="DH2" t="s">
        <v>1535</v>
      </c>
      <c r="DJ2" t="s">
        <v>1536</v>
      </c>
      <c r="DL2" t="s">
        <v>1537</v>
      </c>
      <c r="DN2" t="s">
        <v>1538</v>
      </c>
      <c r="DP2" t="s">
        <v>1539</v>
      </c>
      <c r="DR2" t="s">
        <v>1540</v>
      </c>
      <c r="DT2" t="s">
        <v>1543</v>
      </c>
      <c r="DV2" t="s">
        <v>1544</v>
      </c>
      <c r="DX2" t="s">
        <v>1546</v>
      </c>
      <c r="DZ2" t="s">
        <v>1547</v>
      </c>
      <c r="EB2" t="s">
        <v>1548</v>
      </c>
      <c r="ED2" t="s">
        <v>1549</v>
      </c>
      <c r="EF2" t="s">
        <v>1550</v>
      </c>
      <c r="EH2" t="s">
        <v>1551</v>
      </c>
      <c r="EJ2" t="s">
        <v>1552</v>
      </c>
      <c r="EL2" t="s">
        <v>1553</v>
      </c>
      <c r="EN2" t="s">
        <v>1554</v>
      </c>
      <c r="EP2" t="s">
        <v>1555</v>
      </c>
      <c r="ER2" t="s">
        <v>1556</v>
      </c>
      <c r="ET2" t="s">
        <v>1557</v>
      </c>
      <c r="EV2" t="s">
        <v>3861</v>
      </c>
      <c r="EX2" t="s">
        <v>3862</v>
      </c>
      <c r="EZ2" t="s">
        <v>1560</v>
      </c>
      <c r="FB2" t="s">
        <v>1561</v>
      </c>
      <c r="FD2" t="s">
        <v>1562</v>
      </c>
      <c r="FF2" t="s">
        <v>1563</v>
      </c>
      <c r="FH2" t="s">
        <v>1564</v>
      </c>
      <c r="FJ2" t="s">
        <v>1568</v>
      </c>
      <c r="FL2" t="s">
        <v>1569</v>
      </c>
      <c r="FN2" t="s">
        <v>1570</v>
      </c>
      <c r="FP2" t="s">
        <v>1571</v>
      </c>
      <c r="FR2" t="s">
        <v>1572</v>
      </c>
      <c r="FT2" t="s">
        <v>1573</v>
      </c>
      <c r="FV2" t="s">
        <v>1576</v>
      </c>
      <c r="FX2" t="s">
        <v>1577</v>
      </c>
      <c r="FZ2" t="s">
        <v>1578</v>
      </c>
      <c r="GB2" t="s">
        <v>1579</v>
      </c>
      <c r="GD2" t="s">
        <v>1580</v>
      </c>
      <c r="GF2" t="s">
        <v>1583</v>
      </c>
      <c r="GH2" t="s">
        <v>1584</v>
      </c>
      <c r="GJ2" t="s">
        <v>1585</v>
      </c>
      <c r="GL2" t="s">
        <v>1586</v>
      </c>
      <c r="GN2" t="s">
        <v>1590</v>
      </c>
      <c r="GP2" t="s">
        <v>1591</v>
      </c>
      <c r="GR2" t="s">
        <v>1592</v>
      </c>
      <c r="GT2" t="s">
        <v>1593</v>
      </c>
      <c r="GV2" t="s">
        <v>1594</v>
      </c>
      <c r="GX2" t="s">
        <v>1595</v>
      </c>
      <c r="GZ2" t="s">
        <v>1596</v>
      </c>
      <c r="HB2" t="s">
        <v>1597</v>
      </c>
      <c r="HD2" t="s">
        <v>1599</v>
      </c>
      <c r="HF2" t="s">
        <v>1600</v>
      </c>
      <c r="HH2" t="s">
        <v>1601</v>
      </c>
      <c r="HJ2" t="s">
        <v>1602</v>
      </c>
      <c r="HL2" t="s">
        <v>1603</v>
      </c>
      <c r="HN2" t="s">
        <v>1604</v>
      </c>
      <c r="HP2" t="s">
        <v>1605</v>
      </c>
      <c r="HR2" t="s">
        <v>1606</v>
      </c>
      <c r="HT2" t="s">
        <v>1607</v>
      </c>
      <c r="HV2" t="s">
        <v>1608</v>
      </c>
      <c r="HX2" t="s">
        <v>1610</v>
      </c>
      <c r="HZ2" t="s">
        <v>1611</v>
      </c>
      <c r="IB2" t="s">
        <v>1615</v>
      </c>
      <c r="ID2" t="s">
        <v>1616</v>
      </c>
      <c r="IF2" t="s">
        <v>1617</v>
      </c>
      <c r="IH2" t="s">
        <v>1618</v>
      </c>
      <c r="IJ2" t="s">
        <v>1622</v>
      </c>
      <c r="IL2" t="s">
        <v>1623</v>
      </c>
      <c r="IN2" t="s">
        <v>1624</v>
      </c>
      <c r="IP2" t="s">
        <v>1625</v>
      </c>
      <c r="IR2" t="s">
        <v>1626</v>
      </c>
      <c r="IT2" t="s">
        <v>1627</v>
      </c>
      <c r="IV2" t="s">
        <v>1628</v>
      </c>
      <c r="IX2" t="s">
        <v>1629</v>
      </c>
      <c r="IZ2" t="s">
        <v>1630</v>
      </c>
      <c r="JB2" t="s">
        <v>1631</v>
      </c>
      <c r="JD2" t="s">
        <v>1632</v>
      </c>
      <c r="JF2" t="s">
        <v>1633</v>
      </c>
      <c r="JH2" t="s">
        <v>1634</v>
      </c>
      <c r="JJ2" t="s">
        <v>1635</v>
      </c>
      <c r="JL2" t="s">
        <v>1639</v>
      </c>
      <c r="JN2" t="s">
        <v>1640</v>
      </c>
      <c r="JP2" t="s">
        <v>1641</v>
      </c>
      <c r="JR2" t="s">
        <v>1644</v>
      </c>
      <c r="JT2" t="s">
        <v>1645</v>
      </c>
      <c r="JV2" t="s">
        <v>1646</v>
      </c>
      <c r="JX2" t="s">
        <v>1647</v>
      </c>
      <c r="JZ2" t="s">
        <v>1648</v>
      </c>
      <c r="KB2" t="s">
        <v>1649</v>
      </c>
      <c r="KD2" t="s">
        <v>1650</v>
      </c>
      <c r="KF2" t="s">
        <v>1651</v>
      </c>
      <c r="KH2" t="s">
        <v>1652</v>
      </c>
      <c r="KJ2" t="s">
        <v>1653</v>
      </c>
      <c r="KL2" t="s">
        <v>1654</v>
      </c>
      <c r="KN2" t="s">
        <v>1655</v>
      </c>
      <c r="KP2" t="s">
        <v>1656</v>
      </c>
      <c r="KR2" t="s">
        <v>1657</v>
      </c>
      <c r="KT2" t="s">
        <v>1658</v>
      </c>
      <c r="KV2" t="s">
        <v>1659</v>
      </c>
      <c r="KX2" t="s">
        <v>1660</v>
      </c>
      <c r="KZ2" t="s">
        <v>1661</v>
      </c>
      <c r="LB2" t="s">
        <v>1437</v>
      </c>
      <c r="LD2" t="s">
        <v>1438</v>
      </c>
      <c r="LF2" t="s">
        <v>1439</v>
      </c>
      <c r="LH2" t="s">
        <v>1440</v>
      </c>
      <c r="LJ2" t="s">
        <v>1441</v>
      </c>
      <c r="LL2" t="s">
        <v>1442</v>
      </c>
      <c r="LN2" t="s">
        <v>1443</v>
      </c>
      <c r="LP2" t="s">
        <v>1444</v>
      </c>
      <c r="LR2" t="s">
        <v>1445</v>
      </c>
      <c r="LT2" t="s">
        <v>1446</v>
      </c>
      <c r="LV2" t="s">
        <v>1447</v>
      </c>
      <c r="LX2" t="s">
        <v>1448</v>
      </c>
      <c r="LZ2" t="s">
        <v>1449</v>
      </c>
      <c r="MB2" t="s">
        <v>1450</v>
      </c>
      <c r="MD2" t="s">
        <v>1451</v>
      </c>
      <c r="MF2" t="s">
        <v>1452</v>
      </c>
      <c r="MH2" t="s">
        <v>1453</v>
      </c>
      <c r="MJ2" t="s">
        <v>1454</v>
      </c>
      <c r="ML2" t="s">
        <v>1456</v>
      </c>
      <c r="MN2" t="s">
        <v>1457</v>
      </c>
      <c r="MP2" t="s">
        <v>1458</v>
      </c>
      <c r="MR2" t="s">
        <v>1459</v>
      </c>
      <c r="MT2" t="s">
        <v>1460</v>
      </c>
      <c r="MV2" t="s">
        <v>1461</v>
      </c>
    </row>
    <row r="3" spans="1:360">
      <c r="A3" s="1" t="s">
        <v>2634</v>
      </c>
      <c r="B3" t="s">
        <v>1686</v>
      </c>
      <c r="C3" t="s">
        <v>2834</v>
      </c>
      <c r="E3" s="1" t="s">
        <v>2633</v>
      </c>
      <c r="F3" s="1" t="s">
        <v>2835</v>
      </c>
      <c r="L3" t="s">
        <v>2640</v>
      </c>
      <c r="N3" t="s">
        <v>2641</v>
      </c>
      <c r="P3" t="s">
        <v>2642</v>
      </c>
      <c r="R3" t="s">
        <v>2643</v>
      </c>
      <c r="T3" t="s">
        <v>2644</v>
      </c>
      <c r="V3" t="s">
        <v>2645</v>
      </c>
      <c r="X3" t="s">
        <v>2640</v>
      </c>
      <c r="Z3" t="s">
        <v>2641</v>
      </c>
      <c r="AB3" t="s">
        <v>2642</v>
      </c>
      <c r="AD3" t="s">
        <v>2643</v>
      </c>
      <c r="AF3" t="s">
        <v>2644</v>
      </c>
      <c r="AH3" t="s">
        <v>2645</v>
      </c>
      <c r="AJ3" t="s">
        <v>2657</v>
      </c>
      <c r="AL3" t="s">
        <v>2658</v>
      </c>
      <c r="AN3" t="s">
        <v>2661</v>
      </c>
      <c r="AP3" t="s">
        <v>2639</v>
      </c>
      <c r="AR3" t="s">
        <v>2663</v>
      </c>
      <c r="AT3" t="s">
        <v>2665</v>
      </c>
      <c r="AV3" t="s">
        <v>2666</v>
      </c>
      <c r="AX3" t="s">
        <v>2667</v>
      </c>
      <c r="AZ3" t="s">
        <v>2640</v>
      </c>
      <c r="BB3" t="s">
        <v>2668</v>
      </c>
      <c r="BD3" t="s">
        <v>2669</v>
      </c>
      <c r="BF3" t="s">
        <v>2670</v>
      </c>
      <c r="BH3" t="s">
        <v>2671</v>
      </c>
      <c r="BJ3" t="s">
        <v>2672</v>
      </c>
      <c r="BL3" t="s">
        <v>2675</v>
      </c>
      <c r="BN3" t="s">
        <v>2675</v>
      </c>
      <c r="BP3" t="s">
        <v>2675</v>
      </c>
      <c r="BR3" t="s">
        <v>2675</v>
      </c>
      <c r="BT3" t="s">
        <v>2640</v>
      </c>
      <c r="BV3" t="s">
        <v>2681</v>
      </c>
      <c r="BX3" t="s">
        <v>2682</v>
      </c>
      <c r="BZ3" t="s">
        <v>2683</v>
      </c>
      <c r="CB3" t="s">
        <v>2684</v>
      </c>
      <c r="CD3" t="s">
        <v>2685</v>
      </c>
      <c r="CF3" t="s">
        <v>2686</v>
      </c>
      <c r="CH3" t="s">
        <v>2688</v>
      </c>
      <c r="CJ3" t="s">
        <v>2689</v>
      </c>
      <c r="CL3" t="s">
        <v>2690</v>
      </c>
      <c r="CN3" t="s">
        <v>2688</v>
      </c>
      <c r="CP3" t="s">
        <v>2692</v>
      </c>
      <c r="CR3" t="s">
        <v>2690</v>
      </c>
      <c r="CT3" t="s">
        <v>2693</v>
      </c>
      <c r="CV3" t="s">
        <v>2696</v>
      </c>
      <c r="CX3" t="s">
        <v>2697</v>
      </c>
      <c r="CZ3" t="s">
        <v>2698</v>
      </c>
      <c r="DB3" t="s">
        <v>2699</v>
      </c>
      <c r="DD3" t="s">
        <v>2661</v>
      </c>
      <c r="DF3" t="s">
        <v>2640</v>
      </c>
      <c r="DH3" t="s">
        <v>2701</v>
      </c>
      <c r="DJ3" t="s">
        <v>2702</v>
      </c>
      <c r="DL3" t="s">
        <v>2703</v>
      </c>
      <c r="DN3" t="s">
        <v>2704</v>
      </c>
      <c r="DP3" t="s">
        <v>2705</v>
      </c>
      <c r="DR3" t="s">
        <v>2690</v>
      </c>
      <c r="DT3" t="s">
        <v>1674</v>
      </c>
      <c r="DV3" t="s">
        <v>1675</v>
      </c>
      <c r="DX3" t="s">
        <v>1676</v>
      </c>
      <c r="DZ3" t="s">
        <v>1677</v>
      </c>
      <c r="EB3" t="s">
        <v>747</v>
      </c>
      <c r="ED3" t="s">
        <v>752</v>
      </c>
      <c r="EF3" t="s">
        <v>757</v>
      </c>
      <c r="EH3" t="s">
        <v>765</v>
      </c>
      <c r="EJ3" t="s">
        <v>773</v>
      </c>
      <c r="EL3" t="s">
        <v>781</v>
      </c>
      <c r="EN3" t="s">
        <v>789</v>
      </c>
      <c r="EP3" t="s">
        <v>2709</v>
      </c>
      <c r="ER3" t="s">
        <v>2711</v>
      </c>
      <c r="ET3" t="s">
        <v>2712</v>
      </c>
      <c r="EV3" t="s">
        <v>3859</v>
      </c>
      <c r="EX3" t="s">
        <v>3864</v>
      </c>
      <c r="EZ3" t="s">
        <v>2669</v>
      </c>
      <c r="FB3" t="s">
        <v>884</v>
      </c>
      <c r="FD3" t="s">
        <v>2716</v>
      </c>
      <c r="FF3" t="s">
        <v>2718</v>
      </c>
      <c r="FH3" t="s">
        <v>2720</v>
      </c>
      <c r="FJ3" t="s">
        <v>757</v>
      </c>
      <c r="FL3" t="s">
        <v>765</v>
      </c>
      <c r="FN3" t="s">
        <v>773</v>
      </c>
      <c r="FP3" t="s">
        <v>2724</v>
      </c>
      <c r="FR3" t="s">
        <v>2725</v>
      </c>
      <c r="FT3" t="s">
        <v>2726</v>
      </c>
      <c r="FV3" t="s">
        <v>2728</v>
      </c>
      <c r="FX3" t="s">
        <v>2730</v>
      </c>
      <c r="FZ3" t="s">
        <v>2730</v>
      </c>
      <c r="GB3" t="s">
        <v>2731</v>
      </c>
      <c r="GD3" t="s">
        <v>1061</v>
      </c>
      <c r="GF3" t="s">
        <v>2733</v>
      </c>
      <c r="GH3" t="s">
        <v>1096</v>
      </c>
      <c r="GJ3" t="s">
        <v>1101</v>
      </c>
      <c r="GL3" t="s">
        <v>2737</v>
      </c>
      <c r="GN3" t="s">
        <v>2740</v>
      </c>
      <c r="GP3" t="s">
        <v>2741</v>
      </c>
      <c r="GR3" t="s">
        <v>2703</v>
      </c>
      <c r="GT3" t="s">
        <v>2742</v>
      </c>
      <c r="GV3" t="s">
        <v>2743</v>
      </c>
      <c r="GX3" t="s">
        <v>2744</v>
      </c>
      <c r="GZ3" t="s">
        <v>2745</v>
      </c>
      <c r="HB3" t="s">
        <v>2746</v>
      </c>
      <c r="HD3" t="s">
        <v>2748</v>
      </c>
      <c r="HF3" t="s">
        <v>2749</v>
      </c>
      <c r="HH3" t="s">
        <v>2750</v>
      </c>
      <c r="HJ3" t="s">
        <v>2751</v>
      </c>
      <c r="HL3" t="s">
        <v>2752</v>
      </c>
      <c r="HN3" t="s">
        <v>2754</v>
      </c>
      <c r="HP3" t="s">
        <v>2755</v>
      </c>
      <c r="HR3" t="s">
        <v>2756</v>
      </c>
      <c r="HT3" t="s">
        <v>2757</v>
      </c>
      <c r="HV3" t="s">
        <v>3945</v>
      </c>
      <c r="HX3" t="s">
        <v>2759</v>
      </c>
      <c r="HZ3" t="s">
        <v>2760</v>
      </c>
      <c r="IB3" t="s">
        <v>2754</v>
      </c>
      <c r="ID3" t="s">
        <v>2755</v>
      </c>
      <c r="IF3" t="s">
        <v>2762</v>
      </c>
      <c r="IH3" t="s">
        <v>2757</v>
      </c>
      <c r="IJ3" t="s">
        <v>2765</v>
      </c>
      <c r="IL3" t="s">
        <v>2766</v>
      </c>
      <c r="IN3" t="s">
        <v>2767</v>
      </c>
      <c r="IP3" t="s">
        <v>2768</v>
      </c>
      <c r="IR3" t="s">
        <v>2769</v>
      </c>
      <c r="IT3" t="s">
        <v>2770</v>
      </c>
      <c r="IV3" t="s">
        <v>2771</v>
      </c>
      <c r="IX3" t="s">
        <v>2772</v>
      </c>
      <c r="IZ3" t="s">
        <v>2773</v>
      </c>
      <c r="JB3" t="s">
        <v>2774</v>
      </c>
      <c r="JD3" t="s">
        <v>2775</v>
      </c>
      <c r="JF3" t="s">
        <v>2776</v>
      </c>
      <c r="JH3" t="s">
        <v>2777</v>
      </c>
      <c r="JJ3" t="s">
        <v>2778</v>
      </c>
      <c r="JL3" t="s">
        <v>2781</v>
      </c>
      <c r="JN3" t="s">
        <v>2782</v>
      </c>
      <c r="JP3" t="s">
        <v>2783</v>
      </c>
      <c r="JR3" t="s">
        <v>2786</v>
      </c>
      <c r="JT3" t="s">
        <v>2787</v>
      </c>
      <c r="JV3" t="s">
        <v>2788</v>
      </c>
      <c r="JX3" t="s">
        <v>2789</v>
      </c>
      <c r="JZ3" t="s">
        <v>2790</v>
      </c>
      <c r="KB3" t="s">
        <v>2791</v>
      </c>
      <c r="KD3" t="s">
        <v>2654</v>
      </c>
      <c r="KF3" t="s">
        <v>2655</v>
      </c>
      <c r="KH3" t="s">
        <v>2639</v>
      </c>
      <c r="KJ3" t="s">
        <v>2800</v>
      </c>
      <c r="KL3" t="s">
        <v>2801</v>
      </c>
      <c r="KN3" t="s">
        <v>2802</v>
      </c>
      <c r="KP3" t="s">
        <v>2803</v>
      </c>
      <c r="KR3" t="s">
        <v>2804</v>
      </c>
      <c r="KT3" t="s">
        <v>2805</v>
      </c>
      <c r="KV3" t="s">
        <v>2820</v>
      </c>
      <c r="KX3" t="s">
        <v>2806</v>
      </c>
      <c r="KZ3" t="s">
        <v>2807</v>
      </c>
      <c r="LB3" t="s">
        <v>2651</v>
      </c>
      <c r="LD3" t="s">
        <v>2793</v>
      </c>
      <c r="LF3" t="s">
        <v>2794</v>
      </c>
      <c r="LH3" t="s">
        <v>2795</v>
      </c>
      <c r="LJ3" t="s">
        <v>2796</v>
      </c>
      <c r="LL3" t="s">
        <v>2797</v>
      </c>
      <c r="LN3" t="s">
        <v>2652</v>
      </c>
      <c r="LP3" t="s">
        <v>2810</v>
      </c>
      <c r="LR3" t="s">
        <v>2811</v>
      </c>
      <c r="LT3" t="s">
        <v>2812</v>
      </c>
      <c r="LV3" t="s">
        <v>2813</v>
      </c>
      <c r="LX3" t="s">
        <v>2814</v>
      </c>
      <c r="LZ3" t="s">
        <v>2815</v>
      </c>
      <c r="MB3" t="s">
        <v>2816</v>
      </c>
      <c r="MD3" t="s">
        <v>2817</v>
      </c>
      <c r="MF3" t="s">
        <v>2818</v>
      </c>
      <c r="MH3" t="s">
        <v>2819</v>
      </c>
      <c r="MJ3" t="s">
        <v>2639</v>
      </c>
      <c r="ML3" t="s">
        <v>2823</v>
      </c>
      <c r="MN3" t="s">
        <v>2824</v>
      </c>
      <c r="MP3" t="s">
        <v>2639</v>
      </c>
      <c r="MR3" t="s">
        <v>2827</v>
      </c>
      <c r="MT3" t="s">
        <v>2828</v>
      </c>
      <c r="MV3" t="s">
        <v>2831</v>
      </c>
    </row>
    <row r="4" spans="1:360">
      <c r="A4" s="1">
        <f>_xlfn.IFNA(_xlfn.IFNA(_xlfn.IFNA(_xlfn.IFNA(_xlfn.XLOOKUP(C4,お客様データ添付!G:G,お客様データ添付!E:E),_xlfn.XLOOKUP(C4,お客様データ添付!N:N,お客様データ添付!L:L)),_xlfn.XLOOKUP(C4,お客様データ添付!U:U,お客様データ添付!S:S)),_xlfn.XLOOKUP(C4,お客様データ添付!AB:AB,お客様データ添付!Z:Z)),_xlfn.XLOOKUP(C4,お客様データ添付!AI:AI,お客様データ添付!AG:AG))</f>
        <v>101</v>
      </c>
      <c r="B4" t="s">
        <v>2640</v>
      </c>
      <c r="C4" t="s">
        <v>1463</v>
      </c>
      <c r="D4" s="1">
        <f>IF(C4&lt;&gt;"",MATCH(C4,お客様データリスト!$A$2:$MV$2,0),"")</f>
        <v>12</v>
      </c>
      <c r="E4" s="1">
        <f ca="1">COUNTA(INDIRECT("R4C"&amp;D4&amp;":R1000C"&amp;D4,FALSE))</f>
        <v>0</v>
      </c>
      <c r="F4" s="1">
        <f>_xlfn.IFNA(VLOOKUP($C4,お客様データ添付!$G:$J,4,FALSE),0)+
_xlfn.IFNA(VLOOKUP($C4,お客様データ添付!$N:$Q,4,FALSE),0)+
_xlfn.IFNA(VLOOKUP($C4,お客様データ添付!$U:$X,4,FALSE),0)+
_xlfn.IFNA(VLOOKUP($C4,お客様データ添付!$AB:$AE,4,FALSE),0)+
_xlfn.IFNA(VLOOKUP($C4,お客様データ添付!$AI:$AL,4,FALSE),0)</f>
        <v>0</v>
      </c>
      <c r="T4" t="s">
        <v>4744</v>
      </c>
      <c r="U4" t="s">
        <v>4745</v>
      </c>
      <c r="AR4" t="s">
        <v>4746</v>
      </c>
      <c r="AS4" t="s">
        <v>4747</v>
      </c>
      <c r="AT4" t="s">
        <v>4766</v>
      </c>
      <c r="AU4" t="s">
        <v>4767</v>
      </c>
      <c r="AV4" t="s">
        <v>4770</v>
      </c>
      <c r="AW4" t="s">
        <v>4771</v>
      </c>
      <c r="AZ4" t="s">
        <v>4774</v>
      </c>
      <c r="BA4" t="s">
        <v>4775</v>
      </c>
      <c r="BB4" t="s">
        <v>4776</v>
      </c>
      <c r="BC4" t="s">
        <v>4777</v>
      </c>
      <c r="BD4" t="s">
        <v>4778</v>
      </c>
      <c r="BE4" t="s">
        <v>4779</v>
      </c>
      <c r="BH4" t="s">
        <v>4780</v>
      </c>
      <c r="BI4" t="s">
        <v>4781</v>
      </c>
      <c r="BT4" t="s">
        <v>4782</v>
      </c>
      <c r="BU4" t="s">
        <v>4775</v>
      </c>
      <c r="BV4" t="s">
        <v>4783</v>
      </c>
      <c r="BW4" t="s">
        <v>4771</v>
      </c>
      <c r="BX4" t="s">
        <v>4786</v>
      </c>
      <c r="BY4" t="s">
        <v>4787</v>
      </c>
      <c r="BZ4" t="s">
        <v>4790</v>
      </c>
      <c r="CA4" t="s">
        <v>4791</v>
      </c>
      <c r="CD4" t="s">
        <v>4792</v>
      </c>
      <c r="CE4" t="s">
        <v>4793</v>
      </c>
      <c r="CF4" t="s">
        <v>4794</v>
      </c>
      <c r="CG4" t="s">
        <v>4795</v>
      </c>
      <c r="CH4" t="s">
        <v>4796</v>
      </c>
      <c r="CI4" t="s">
        <v>4797</v>
      </c>
      <c r="CJ4" t="s">
        <v>4800</v>
      </c>
      <c r="CK4" t="s">
        <v>4801</v>
      </c>
      <c r="CL4" t="s">
        <v>4822</v>
      </c>
      <c r="CM4" t="s">
        <v>4823</v>
      </c>
      <c r="CN4" t="s">
        <v>4826</v>
      </c>
      <c r="CO4" t="s">
        <v>4827</v>
      </c>
      <c r="CP4" t="s">
        <v>4834</v>
      </c>
      <c r="CQ4" t="s">
        <v>4835</v>
      </c>
      <c r="CR4" t="s">
        <v>4846</v>
      </c>
      <c r="CS4" t="s">
        <v>4847</v>
      </c>
      <c r="CT4" t="s">
        <v>4848</v>
      </c>
      <c r="CU4" t="s">
        <v>4849</v>
      </c>
      <c r="DT4" t="s">
        <v>4852</v>
      </c>
      <c r="DU4" t="s">
        <v>4853</v>
      </c>
      <c r="DX4" t="s">
        <v>4854</v>
      </c>
      <c r="DY4" t="s">
        <v>4855</v>
      </c>
      <c r="EB4" t="s">
        <v>4864</v>
      </c>
      <c r="EC4" t="s">
        <v>4865</v>
      </c>
      <c r="ED4" t="s">
        <v>4874</v>
      </c>
      <c r="EE4" t="s">
        <v>4875</v>
      </c>
      <c r="ER4" t="s">
        <v>4881</v>
      </c>
      <c r="ES4" t="s">
        <v>4882</v>
      </c>
      <c r="ET4" t="s">
        <v>4891</v>
      </c>
      <c r="EU4" t="s">
        <v>4892</v>
      </c>
      <c r="EV4" t="s">
        <v>4878</v>
      </c>
      <c r="EW4" t="s">
        <v>4879</v>
      </c>
      <c r="EX4" t="s">
        <v>4880</v>
      </c>
      <c r="EY4" t="s">
        <v>4855</v>
      </c>
      <c r="EZ4" t="s">
        <v>4893</v>
      </c>
      <c r="FA4" t="s">
        <v>4894</v>
      </c>
      <c r="FB4" t="s">
        <v>4895</v>
      </c>
      <c r="FC4" t="s">
        <v>4735</v>
      </c>
      <c r="FD4" t="s">
        <v>4896</v>
      </c>
      <c r="FE4" t="s">
        <v>4897</v>
      </c>
      <c r="FH4" t="s">
        <v>4902</v>
      </c>
      <c r="FI4" t="s">
        <v>4903</v>
      </c>
      <c r="FP4" t="s">
        <v>4906</v>
      </c>
      <c r="FQ4" t="s">
        <v>4907</v>
      </c>
      <c r="FR4" t="s">
        <v>4910</v>
      </c>
      <c r="FS4" t="s">
        <v>4911</v>
      </c>
      <c r="FV4" t="s">
        <v>4912</v>
      </c>
      <c r="FW4" t="s">
        <v>4913</v>
      </c>
      <c r="FX4" t="s">
        <v>4920</v>
      </c>
      <c r="FY4" t="s">
        <v>4921</v>
      </c>
      <c r="FZ4" t="s">
        <v>4930</v>
      </c>
      <c r="GA4" t="s">
        <v>4931</v>
      </c>
      <c r="GF4" t="s">
        <v>4934</v>
      </c>
      <c r="GG4" t="s">
        <v>4935</v>
      </c>
      <c r="GJ4" t="s">
        <v>4936</v>
      </c>
      <c r="GK4" t="s">
        <v>4937</v>
      </c>
      <c r="GN4" t="s">
        <v>4938</v>
      </c>
      <c r="GO4" t="s">
        <v>4939</v>
      </c>
      <c r="GR4" t="s">
        <v>4940</v>
      </c>
      <c r="GS4" t="s">
        <v>4941</v>
      </c>
      <c r="GT4" t="s">
        <v>4948</v>
      </c>
      <c r="GU4" t="s">
        <v>4949</v>
      </c>
      <c r="GV4" t="s">
        <v>4950</v>
      </c>
      <c r="GW4" t="s">
        <v>4951</v>
      </c>
      <c r="HD4" t="s">
        <v>4952</v>
      </c>
      <c r="HE4" t="s">
        <v>4953</v>
      </c>
      <c r="HF4" t="s">
        <v>4956</v>
      </c>
      <c r="HG4" t="s">
        <v>4957</v>
      </c>
      <c r="HH4" t="s">
        <v>4970</v>
      </c>
      <c r="HI4" t="s">
        <v>4971</v>
      </c>
      <c r="HJ4" t="s">
        <v>4980</v>
      </c>
      <c r="HK4" t="s">
        <v>4981</v>
      </c>
      <c r="HL4" t="s">
        <v>4984</v>
      </c>
      <c r="HM4" t="s">
        <v>4985</v>
      </c>
      <c r="IB4" t="s">
        <v>5014</v>
      </c>
      <c r="IC4" t="s">
        <v>5015</v>
      </c>
      <c r="ID4" t="s">
        <v>5016</v>
      </c>
      <c r="IE4" t="s">
        <v>5017</v>
      </c>
      <c r="IF4" t="s">
        <v>5022</v>
      </c>
      <c r="IG4" t="s">
        <v>5023</v>
      </c>
      <c r="IH4" t="s">
        <v>5024</v>
      </c>
      <c r="II4" t="s">
        <v>5025</v>
      </c>
      <c r="IJ4" t="s">
        <v>5026</v>
      </c>
      <c r="IK4" t="s">
        <v>5027</v>
      </c>
      <c r="IL4" t="s">
        <v>5038</v>
      </c>
      <c r="IM4" t="s">
        <v>5039</v>
      </c>
      <c r="IN4" t="s">
        <v>5049</v>
      </c>
      <c r="IO4" t="s">
        <v>5050</v>
      </c>
      <c r="IP4" t="s">
        <v>5057</v>
      </c>
      <c r="IQ4" t="s">
        <v>5058</v>
      </c>
      <c r="IR4" t="s">
        <v>5069</v>
      </c>
      <c r="IS4" t="s">
        <v>5001</v>
      </c>
      <c r="IT4" t="s">
        <v>5070</v>
      </c>
      <c r="IU4" t="s">
        <v>4995</v>
      </c>
      <c r="IV4" t="s">
        <v>5072</v>
      </c>
      <c r="IW4" t="s">
        <v>4993</v>
      </c>
      <c r="IX4" t="s">
        <v>5074</v>
      </c>
      <c r="IY4" t="s">
        <v>4987</v>
      </c>
      <c r="IZ4" t="s">
        <v>5075</v>
      </c>
      <c r="JA4" t="s">
        <v>5076</v>
      </c>
      <c r="JB4" t="s">
        <v>5080</v>
      </c>
      <c r="JC4" t="s">
        <v>5081</v>
      </c>
      <c r="JD4" t="s">
        <v>5085</v>
      </c>
      <c r="JE4" t="s">
        <v>4961</v>
      </c>
      <c r="JF4" t="s">
        <v>5095</v>
      </c>
      <c r="JG4" t="s">
        <v>4979</v>
      </c>
      <c r="JL4" t="s">
        <v>5100</v>
      </c>
      <c r="JM4" t="s">
        <v>4709</v>
      </c>
      <c r="JR4" t="s">
        <v>5101</v>
      </c>
      <c r="JS4" t="s">
        <v>5102</v>
      </c>
      <c r="JT4" t="s">
        <v>5103</v>
      </c>
      <c r="JU4" t="s">
        <v>5104</v>
      </c>
      <c r="JV4" t="s">
        <v>5105</v>
      </c>
      <c r="JW4" t="s">
        <v>5106</v>
      </c>
      <c r="KD4" t="s">
        <v>5107</v>
      </c>
      <c r="KE4" t="s">
        <v>5108</v>
      </c>
      <c r="KH4" t="s">
        <v>5111</v>
      </c>
      <c r="KI4" t="s">
        <v>5112</v>
      </c>
      <c r="KJ4" t="s">
        <v>5117</v>
      </c>
      <c r="KK4" t="s">
        <v>5118</v>
      </c>
      <c r="KL4" t="s">
        <v>5119</v>
      </c>
      <c r="KM4" t="s">
        <v>5120</v>
      </c>
      <c r="KN4" t="s">
        <v>5123</v>
      </c>
      <c r="KO4" t="s">
        <v>5124</v>
      </c>
      <c r="KP4" t="s">
        <v>5125</v>
      </c>
      <c r="KQ4" t="s">
        <v>5126</v>
      </c>
      <c r="KR4" t="s">
        <v>5127</v>
      </c>
      <c r="KS4" t="s">
        <v>5128</v>
      </c>
      <c r="KT4" t="s">
        <v>5129</v>
      </c>
      <c r="KU4" t="s">
        <v>5130</v>
      </c>
      <c r="KV4" t="s">
        <v>5131</v>
      </c>
      <c r="KW4" t="s">
        <v>5132</v>
      </c>
      <c r="KZ4" t="s">
        <v>5133</v>
      </c>
      <c r="LA4" t="s">
        <v>5134</v>
      </c>
      <c r="LB4" t="s">
        <v>5137</v>
      </c>
      <c r="LC4" t="s">
        <v>5138</v>
      </c>
      <c r="LN4" t="s">
        <v>5139</v>
      </c>
      <c r="LO4" t="s">
        <v>5140</v>
      </c>
      <c r="LR4" t="s">
        <v>5141</v>
      </c>
      <c r="LS4" t="s">
        <v>5142</v>
      </c>
      <c r="LT4" t="s">
        <v>5143</v>
      </c>
      <c r="LU4" t="s">
        <v>5144</v>
      </c>
      <c r="LX4" t="s">
        <v>5145</v>
      </c>
      <c r="LY4" t="s">
        <v>5146</v>
      </c>
      <c r="MB4" t="s">
        <v>5147</v>
      </c>
      <c r="MC4" t="s">
        <v>5148</v>
      </c>
      <c r="MD4" t="s">
        <v>5149</v>
      </c>
      <c r="ME4" t="s">
        <v>5150</v>
      </c>
      <c r="MF4" t="s">
        <v>5151</v>
      </c>
      <c r="MG4" t="s">
        <v>5152</v>
      </c>
      <c r="MH4" t="s">
        <v>5153</v>
      </c>
      <c r="MI4" t="s">
        <v>5154</v>
      </c>
      <c r="MN4" t="s">
        <v>5155</v>
      </c>
      <c r="MO4" t="s">
        <v>5156</v>
      </c>
    </row>
    <row r="5" spans="1:360">
      <c r="A5" s="1">
        <f>_xlfn.IFNA(_xlfn.IFNA(_xlfn.IFNA(_xlfn.IFNA(_xlfn.XLOOKUP(C5,お客様データ添付!G:G,お客様データ添付!E:E),_xlfn.XLOOKUP(C5,お客様データ添付!N:N,お客様データ添付!L:L)),_xlfn.XLOOKUP(C5,お客様データ添付!U:U,お客様データ添付!S:S)),_xlfn.XLOOKUP(C5,お客様データ添付!AB:AB,お客様データ添付!Z:Z)),_xlfn.XLOOKUP(C5,お客様データ添付!AI:AI,お客様データ添付!AG:AG))</f>
        <v>102</v>
      </c>
      <c r="B5" t="s">
        <v>2641</v>
      </c>
      <c r="C5" t="s">
        <v>1464</v>
      </c>
      <c r="D5" s="1">
        <f>IF(C5&lt;&gt;"",MATCH(C5,お客様データリスト!$A$2:$MV$2,0),"")</f>
        <v>14</v>
      </c>
      <c r="E5" s="1">
        <f ca="1">COUNTA(INDIRECT("R4C"&amp;D5&amp;":R1000C"&amp;D5,FALSE))</f>
        <v>0</v>
      </c>
      <c r="F5" s="1">
        <f>_xlfn.IFNA(VLOOKUP($C5,お客様データ添付!$G:$J,4,FALSE),0)+
_xlfn.IFNA(VLOOKUP($C5,お客様データ添付!$N:$Q,4,FALSE),0)+
_xlfn.IFNA(VLOOKUP($C5,お客様データ添付!$U:$X,4,FALSE),0)+
_xlfn.IFNA(VLOOKUP($C5,お客様データ添付!$AB:$AE,4,FALSE),0)+
_xlfn.IFNA(VLOOKUP($C5,お客様データ添付!$AI:$AL,4,FALSE),0)</f>
        <v>0</v>
      </c>
      <c r="AR5" t="s">
        <v>4748</v>
      </c>
      <c r="AS5" t="s">
        <v>4749</v>
      </c>
      <c r="AT5" t="s">
        <v>4768</v>
      </c>
      <c r="AU5" t="s">
        <v>4769</v>
      </c>
      <c r="AV5" t="s">
        <v>4772</v>
      </c>
      <c r="AW5" t="s">
        <v>4773</v>
      </c>
      <c r="BV5" t="s">
        <v>4784</v>
      </c>
      <c r="BW5" t="s">
        <v>4785</v>
      </c>
      <c r="BX5" t="s">
        <v>4788</v>
      </c>
      <c r="BY5" t="s">
        <v>4789</v>
      </c>
      <c r="CH5" t="s">
        <v>4798</v>
      </c>
      <c r="CI5" t="s">
        <v>4799</v>
      </c>
      <c r="CJ5" t="s">
        <v>4802</v>
      </c>
      <c r="CK5" t="s">
        <v>4803</v>
      </c>
      <c r="CL5" t="s">
        <v>4824</v>
      </c>
      <c r="CM5" t="s">
        <v>4825</v>
      </c>
      <c r="CN5" t="s">
        <v>4828</v>
      </c>
      <c r="CO5" t="s">
        <v>4829</v>
      </c>
      <c r="CP5" t="s">
        <v>4836</v>
      </c>
      <c r="CQ5" t="s">
        <v>4837</v>
      </c>
      <c r="CT5" t="s">
        <v>4850</v>
      </c>
      <c r="CU5" t="s">
        <v>4851</v>
      </c>
      <c r="DX5" t="s">
        <v>4856</v>
      </c>
      <c r="DY5" t="s">
        <v>4857</v>
      </c>
      <c r="EB5" t="s">
        <v>4866</v>
      </c>
      <c r="EC5" t="s">
        <v>4867</v>
      </c>
      <c r="ED5" t="s">
        <v>4876</v>
      </c>
      <c r="EE5" t="s">
        <v>4877</v>
      </c>
      <c r="ER5" t="s">
        <v>4883</v>
      </c>
      <c r="ES5" t="s">
        <v>4884</v>
      </c>
      <c r="FD5" t="s">
        <v>4898</v>
      </c>
      <c r="FE5" t="s">
        <v>4899</v>
      </c>
      <c r="FH5" t="s">
        <v>4904</v>
      </c>
      <c r="FI5" t="s">
        <v>4905</v>
      </c>
      <c r="FP5" t="s">
        <v>4908</v>
      </c>
      <c r="FQ5" t="s">
        <v>4909</v>
      </c>
      <c r="FV5" t="s">
        <v>4914</v>
      </c>
      <c r="FW5" t="s">
        <v>4915</v>
      </c>
      <c r="FX5" t="s">
        <v>4922</v>
      </c>
      <c r="FY5" t="s">
        <v>4923</v>
      </c>
      <c r="FZ5" t="s">
        <v>4932</v>
      </c>
      <c r="GA5" t="s">
        <v>4933</v>
      </c>
      <c r="GR5" t="s">
        <v>4942</v>
      </c>
      <c r="GS5" t="s">
        <v>4943</v>
      </c>
      <c r="HD5" t="s">
        <v>4954</v>
      </c>
      <c r="HE5" t="s">
        <v>4955</v>
      </c>
      <c r="HF5" t="s">
        <v>4958</v>
      </c>
      <c r="HG5" t="s">
        <v>4959</v>
      </c>
      <c r="HH5" t="s">
        <v>4972</v>
      </c>
      <c r="HI5" t="s">
        <v>4973</v>
      </c>
      <c r="HJ5" t="s">
        <v>4982</v>
      </c>
      <c r="HK5" t="s">
        <v>4983</v>
      </c>
      <c r="HL5" t="s">
        <v>4986</v>
      </c>
      <c r="HM5" t="s">
        <v>4987</v>
      </c>
      <c r="ID5" t="s">
        <v>5018</v>
      </c>
      <c r="IE5" t="s">
        <v>5019</v>
      </c>
      <c r="IJ5" t="s">
        <v>5028</v>
      </c>
      <c r="IK5" t="s">
        <v>5029</v>
      </c>
      <c r="IL5" t="s">
        <v>5040</v>
      </c>
      <c r="IM5" t="s">
        <v>5041</v>
      </c>
      <c r="IN5" t="s">
        <v>5051</v>
      </c>
      <c r="IO5" t="s">
        <v>4985</v>
      </c>
      <c r="IP5" t="s">
        <v>5059</v>
      </c>
      <c r="IQ5" t="s">
        <v>5060</v>
      </c>
      <c r="IT5" t="s">
        <v>5071</v>
      </c>
      <c r="IU5" t="s">
        <v>4997</v>
      </c>
      <c r="IV5" t="s">
        <v>5073</v>
      </c>
      <c r="IW5" t="s">
        <v>4991</v>
      </c>
      <c r="IZ5" t="s">
        <v>5077</v>
      </c>
      <c r="JA5" t="s">
        <v>5003</v>
      </c>
      <c r="JB5" t="s">
        <v>5082</v>
      </c>
      <c r="JC5" t="s">
        <v>4953</v>
      </c>
      <c r="JD5" t="s">
        <v>5086</v>
      </c>
      <c r="JE5" t="s">
        <v>4969</v>
      </c>
      <c r="JF5" t="s">
        <v>5096</v>
      </c>
      <c r="JG5" t="s">
        <v>4971</v>
      </c>
      <c r="KD5" t="s">
        <v>5109</v>
      </c>
      <c r="KE5" t="s">
        <v>5110</v>
      </c>
      <c r="KH5" t="s">
        <v>5113</v>
      </c>
      <c r="KI5" t="s">
        <v>5114</v>
      </c>
      <c r="KL5" t="s">
        <v>5121</v>
      </c>
      <c r="KM5" t="s">
        <v>5122</v>
      </c>
      <c r="KZ5" t="s">
        <v>5135</v>
      </c>
      <c r="LA5" t="s">
        <v>5136</v>
      </c>
    </row>
    <row r="6" spans="1:360">
      <c r="A6" s="1">
        <f>_xlfn.IFNA(_xlfn.IFNA(_xlfn.IFNA(_xlfn.IFNA(_xlfn.XLOOKUP(C6,お客様データ添付!G:G,お客様データ添付!E:E),_xlfn.XLOOKUP(C6,お客様データ添付!N:N,お客様データ添付!L:L)),_xlfn.XLOOKUP(C6,お客様データ添付!U:U,お客様データ添付!S:S)),_xlfn.XLOOKUP(C6,お客様データ添付!AB:AB,お客様データ添付!Z:Z)),_xlfn.XLOOKUP(C6,お客様データ添付!AI:AI,お客様データ添付!AG:AG))</f>
        <v>103</v>
      </c>
      <c r="B6" t="s">
        <v>2642</v>
      </c>
      <c r="C6" t="s">
        <v>1465</v>
      </c>
      <c r="D6" s="1">
        <f>IF(C6&lt;&gt;"",MATCH(C6,お客様データリスト!$A$2:$MV$2,0),"")</f>
        <v>16</v>
      </c>
      <c r="E6" s="1">
        <f t="shared" ref="E6:E71" ca="1" si="0">COUNTA(INDIRECT("R4C"&amp;D6&amp;":R1000C"&amp;D6,FALSE))</f>
        <v>0</v>
      </c>
      <c r="F6" s="1">
        <f>_xlfn.IFNA(VLOOKUP($C6,お客様データ添付!$G:$J,4,FALSE),0)+
_xlfn.IFNA(VLOOKUP($C6,お客様データ添付!$N:$Q,4,FALSE),0)+
_xlfn.IFNA(VLOOKUP($C6,お客様データ添付!$U:$X,4,FALSE),0)+
_xlfn.IFNA(VLOOKUP($C6,お客様データ添付!$AB:$AE,4,FALSE),0)+
_xlfn.IFNA(VLOOKUP($C6,お客様データ添付!$AI:$AL,4,FALSE),0)</f>
        <v>0</v>
      </c>
      <c r="AR6" t="s">
        <v>4750</v>
      </c>
      <c r="AS6" t="s">
        <v>4751</v>
      </c>
      <c r="CJ6" t="s">
        <v>4804</v>
      </c>
      <c r="CK6" t="s">
        <v>4805</v>
      </c>
      <c r="CN6" t="s">
        <v>4830</v>
      </c>
      <c r="CO6" t="s">
        <v>4831</v>
      </c>
      <c r="CP6" t="s">
        <v>4838</v>
      </c>
      <c r="CQ6" t="s">
        <v>4839</v>
      </c>
      <c r="DX6" t="s">
        <v>4858</v>
      </c>
      <c r="DY6" t="s">
        <v>4859</v>
      </c>
      <c r="EB6" t="s">
        <v>4868</v>
      </c>
      <c r="EC6" t="s">
        <v>4869</v>
      </c>
      <c r="ER6" t="s">
        <v>4885</v>
      </c>
      <c r="ES6" t="s">
        <v>4886</v>
      </c>
      <c r="FD6" t="s">
        <v>4900</v>
      </c>
      <c r="FE6" t="s">
        <v>4901</v>
      </c>
      <c r="FV6" t="s">
        <v>4916</v>
      </c>
      <c r="FW6" t="s">
        <v>4917</v>
      </c>
      <c r="FX6" t="s">
        <v>4924</v>
      </c>
      <c r="FY6" t="s">
        <v>4925</v>
      </c>
      <c r="GR6" t="s">
        <v>4944</v>
      </c>
      <c r="GS6" t="s">
        <v>4945</v>
      </c>
      <c r="HF6" t="s">
        <v>4960</v>
      </c>
      <c r="HG6" t="s">
        <v>4961</v>
      </c>
      <c r="HH6" t="s">
        <v>4974</v>
      </c>
      <c r="HI6" t="s">
        <v>4975</v>
      </c>
      <c r="HL6" t="s">
        <v>4988</v>
      </c>
      <c r="HM6" t="s">
        <v>4989</v>
      </c>
      <c r="ID6" t="s">
        <v>5020</v>
      </c>
      <c r="IE6" t="s">
        <v>5021</v>
      </c>
      <c r="IJ6" t="s">
        <v>5030</v>
      </c>
      <c r="IK6" t="s">
        <v>5031</v>
      </c>
      <c r="IL6" t="s">
        <v>5042</v>
      </c>
      <c r="IM6" t="s">
        <v>4945</v>
      </c>
      <c r="IN6" t="s">
        <v>5052</v>
      </c>
      <c r="IO6" t="s">
        <v>4989</v>
      </c>
      <c r="IP6" t="s">
        <v>5061</v>
      </c>
      <c r="IQ6" t="s">
        <v>5062</v>
      </c>
      <c r="IZ6" t="s">
        <v>5078</v>
      </c>
      <c r="JA6" t="s">
        <v>5079</v>
      </c>
      <c r="JB6" t="s">
        <v>5083</v>
      </c>
      <c r="JC6" t="s">
        <v>5084</v>
      </c>
      <c r="JD6" t="s">
        <v>5087</v>
      </c>
      <c r="JE6" t="s">
        <v>5005</v>
      </c>
      <c r="JF6" t="s">
        <v>5097</v>
      </c>
      <c r="JG6" t="s">
        <v>4973</v>
      </c>
      <c r="KH6" t="s">
        <v>5115</v>
      </c>
      <c r="KI6" t="s">
        <v>5116</v>
      </c>
    </row>
    <row r="7" spans="1:360">
      <c r="A7" s="1">
        <f>_xlfn.IFNA(_xlfn.IFNA(_xlfn.IFNA(_xlfn.IFNA(_xlfn.XLOOKUP(C7,お客様データ添付!G:G,お客様データ添付!E:E),_xlfn.XLOOKUP(C7,お客様データ添付!N:N,お客様データ添付!L:L)),_xlfn.XLOOKUP(C7,お客様データ添付!U:U,お客様データ添付!S:S)),_xlfn.XLOOKUP(C7,お客様データ添付!AB:AB,お客様データ添付!Z:Z)),_xlfn.XLOOKUP(C7,お客様データ添付!AI:AI,お客様データ添付!AG:AG))</f>
        <v>104</v>
      </c>
      <c r="B7" t="s">
        <v>2643</v>
      </c>
      <c r="C7" t="s">
        <v>1466</v>
      </c>
      <c r="D7" s="1">
        <f>IF(C7&lt;&gt;"",MATCH(C7,お客様データリスト!$A$2:$MV$2,0),"")</f>
        <v>18</v>
      </c>
      <c r="E7" s="1">
        <f t="shared" ca="1" si="0"/>
        <v>0</v>
      </c>
      <c r="F7" s="1">
        <f>_xlfn.IFNA(VLOOKUP($C7,お客様データ添付!$G:$J,4,FALSE),0)+
_xlfn.IFNA(VLOOKUP($C7,お客様データ添付!$N:$Q,4,FALSE),0)+
_xlfn.IFNA(VLOOKUP($C7,お客様データ添付!$U:$X,4,FALSE),0)+
_xlfn.IFNA(VLOOKUP($C7,お客様データ添付!$AB:$AE,4,FALSE),0)+
_xlfn.IFNA(VLOOKUP($C7,お客様データ添付!$AI:$AL,4,FALSE),0)</f>
        <v>0</v>
      </c>
      <c r="AR7" t="s">
        <v>4752</v>
      </c>
      <c r="AS7" t="s">
        <v>4753</v>
      </c>
      <c r="CJ7" t="s">
        <v>4806</v>
      </c>
      <c r="CK7" t="s">
        <v>4807</v>
      </c>
      <c r="CN7" t="s">
        <v>4832</v>
      </c>
      <c r="CO7" t="s">
        <v>4833</v>
      </c>
      <c r="CP7" t="s">
        <v>4840</v>
      </c>
      <c r="CQ7" t="s">
        <v>4841</v>
      </c>
      <c r="DX7" t="s">
        <v>4860</v>
      </c>
      <c r="DY7" t="s">
        <v>4861</v>
      </c>
      <c r="EB7" t="s">
        <v>4870</v>
      </c>
      <c r="EC7" t="s">
        <v>4871</v>
      </c>
      <c r="ER7" t="s">
        <v>4887</v>
      </c>
      <c r="ES7" t="s">
        <v>4888</v>
      </c>
      <c r="FV7" t="s">
        <v>4918</v>
      </c>
      <c r="FW7" t="s">
        <v>4919</v>
      </c>
      <c r="FX7" t="s">
        <v>4926</v>
      </c>
      <c r="FY7" t="s">
        <v>4927</v>
      </c>
      <c r="GR7" t="s">
        <v>4946</v>
      </c>
      <c r="GS7" t="s">
        <v>4947</v>
      </c>
      <c r="HF7" t="s">
        <v>4962</v>
      </c>
      <c r="HG7" t="s">
        <v>4963</v>
      </c>
      <c r="HH7" t="s">
        <v>4976</v>
      </c>
      <c r="HI7" t="s">
        <v>4977</v>
      </c>
      <c r="HL7" t="s">
        <v>4990</v>
      </c>
      <c r="HM7" t="s">
        <v>4991</v>
      </c>
      <c r="IJ7" t="s">
        <v>5032</v>
      </c>
      <c r="IK7" t="s">
        <v>5033</v>
      </c>
      <c r="IL7" t="s">
        <v>5043</v>
      </c>
      <c r="IM7" t="s">
        <v>5044</v>
      </c>
      <c r="IN7" t="s">
        <v>5053</v>
      </c>
      <c r="IO7" t="s">
        <v>5054</v>
      </c>
      <c r="IP7" t="s">
        <v>5063</v>
      </c>
      <c r="IQ7" t="s">
        <v>5064</v>
      </c>
      <c r="JD7" t="s">
        <v>5088</v>
      </c>
      <c r="JE7" t="s">
        <v>4959</v>
      </c>
      <c r="JF7" t="s">
        <v>5098</v>
      </c>
      <c r="JG7" t="s">
        <v>4975</v>
      </c>
    </row>
    <row r="8" spans="1:360">
      <c r="A8" s="1">
        <f>_xlfn.IFNA(_xlfn.IFNA(_xlfn.IFNA(_xlfn.IFNA(_xlfn.XLOOKUP(C8,お客様データ添付!G:G,お客様データ添付!E:E),_xlfn.XLOOKUP(C8,お客様データ添付!N:N,お客様データ添付!L:L)),_xlfn.XLOOKUP(C8,お客様データ添付!U:U,お客様データ添付!S:S)),_xlfn.XLOOKUP(C8,お客様データ添付!AB:AB,お客様データ添付!Z:Z)),_xlfn.XLOOKUP(C8,お客様データ添付!AI:AI,お客様データ添付!AG:AG))</f>
        <v>105</v>
      </c>
      <c r="B8" t="s">
        <v>2644</v>
      </c>
      <c r="C8" t="s">
        <v>1467</v>
      </c>
      <c r="D8" s="1">
        <f>IF(C8&lt;&gt;"",MATCH(C8,お客様データリスト!$A$2:$MV$2,0),"")</f>
        <v>20</v>
      </c>
      <c r="E8" s="1">
        <f t="shared" ca="1" si="0"/>
        <v>1</v>
      </c>
      <c r="F8" s="1">
        <f>_xlfn.IFNA(VLOOKUP($C8,お客様データ添付!$G:$J,4,FALSE),0)+
_xlfn.IFNA(VLOOKUP($C8,お客様データ添付!$N:$Q,4,FALSE),0)+
_xlfn.IFNA(VLOOKUP($C8,お客様データ添付!$U:$X,4,FALSE),0)+
_xlfn.IFNA(VLOOKUP($C8,お客様データ添付!$AB:$AE,4,FALSE),0)+
_xlfn.IFNA(VLOOKUP($C8,お客様データ添付!$AI:$AL,4,FALSE),0)</f>
        <v>0</v>
      </c>
      <c r="AR8" t="s">
        <v>4754</v>
      </c>
      <c r="AS8" t="s">
        <v>4755</v>
      </c>
      <c r="CJ8" t="s">
        <v>4808</v>
      </c>
      <c r="CK8" t="s">
        <v>4809</v>
      </c>
      <c r="CP8" t="s">
        <v>4842</v>
      </c>
      <c r="CQ8" t="s">
        <v>4843</v>
      </c>
      <c r="DX8" t="s">
        <v>4862</v>
      </c>
      <c r="DY8" t="s">
        <v>4863</v>
      </c>
      <c r="EB8" t="s">
        <v>4872</v>
      </c>
      <c r="EC8" t="s">
        <v>4873</v>
      </c>
      <c r="ER8" t="s">
        <v>4889</v>
      </c>
      <c r="ES8" t="s">
        <v>4890</v>
      </c>
      <c r="FX8" t="s">
        <v>4928</v>
      </c>
      <c r="FY8" t="s">
        <v>4929</v>
      </c>
      <c r="HF8" t="s">
        <v>4964</v>
      </c>
      <c r="HG8" t="s">
        <v>4965</v>
      </c>
      <c r="HH8" t="s">
        <v>4978</v>
      </c>
      <c r="HI8" t="s">
        <v>4979</v>
      </c>
      <c r="HL8" t="s">
        <v>4992</v>
      </c>
      <c r="HM8" t="s">
        <v>4993</v>
      </c>
      <c r="IJ8" t="s">
        <v>5034</v>
      </c>
      <c r="IK8" t="s">
        <v>5035</v>
      </c>
      <c r="IL8" t="s">
        <v>5045</v>
      </c>
      <c r="IM8" t="s">
        <v>5046</v>
      </c>
      <c r="IN8" t="s">
        <v>5055</v>
      </c>
      <c r="IO8" t="s">
        <v>5056</v>
      </c>
      <c r="IP8" t="s">
        <v>5065</v>
      </c>
      <c r="IQ8" t="s">
        <v>5066</v>
      </c>
      <c r="JD8" t="s">
        <v>5089</v>
      </c>
      <c r="JE8" t="s">
        <v>4963</v>
      </c>
      <c r="JF8" t="s">
        <v>5099</v>
      </c>
      <c r="JG8" t="s">
        <v>4977</v>
      </c>
    </row>
    <row r="9" spans="1:360">
      <c r="A9" s="1">
        <f>_xlfn.IFNA(_xlfn.IFNA(_xlfn.IFNA(_xlfn.IFNA(_xlfn.XLOOKUP(C9,お客様データ添付!G:G,お客様データ添付!E:E),_xlfn.XLOOKUP(C9,お客様データ添付!N:N,お客様データ添付!L:L)),_xlfn.XLOOKUP(C9,お客様データ添付!U:U,お客様データ添付!S:S)),_xlfn.XLOOKUP(C9,お客様データ添付!AB:AB,お客様データ添付!Z:Z)),_xlfn.XLOOKUP(C9,お客様データ添付!AI:AI,お客様データ添付!AG:AG))</f>
        <v>106</v>
      </c>
      <c r="B9" t="s">
        <v>2645</v>
      </c>
      <c r="C9" t="s">
        <v>1468</v>
      </c>
      <c r="D9" s="1">
        <f>IF(C9&lt;&gt;"",MATCH(C9,お客様データリスト!$A$2:$MV$2,0),"")</f>
        <v>22</v>
      </c>
      <c r="E9" s="1">
        <f t="shared" ca="1" si="0"/>
        <v>0</v>
      </c>
      <c r="F9" s="1">
        <f>_xlfn.IFNA(VLOOKUP($C9,お客様データ添付!$G:$J,4,FALSE),0)+
_xlfn.IFNA(VLOOKUP($C9,お客様データ添付!$N:$Q,4,FALSE),0)+
_xlfn.IFNA(VLOOKUP($C9,お客様データ添付!$U:$X,4,FALSE),0)+
_xlfn.IFNA(VLOOKUP($C9,お客様データ添付!$AB:$AE,4,FALSE),0)+
_xlfn.IFNA(VLOOKUP($C9,お客様データ添付!$AI:$AL,4,FALSE),0)</f>
        <v>0</v>
      </c>
      <c r="AR9" t="s">
        <v>4756</v>
      </c>
      <c r="AS9" t="s">
        <v>4757</v>
      </c>
      <c r="CJ9" t="s">
        <v>4810</v>
      </c>
      <c r="CK9" t="s">
        <v>4811</v>
      </c>
      <c r="CP9" t="s">
        <v>4844</v>
      </c>
      <c r="CQ9" t="s">
        <v>4845</v>
      </c>
      <c r="HF9" t="s">
        <v>4966</v>
      </c>
      <c r="HG9" t="s">
        <v>4967</v>
      </c>
      <c r="HL9" t="s">
        <v>4994</v>
      </c>
      <c r="HM9" t="s">
        <v>4995</v>
      </c>
      <c r="IJ9" t="s">
        <v>5036</v>
      </c>
      <c r="IK9" t="s">
        <v>5037</v>
      </c>
      <c r="IL9" t="s">
        <v>5047</v>
      </c>
      <c r="IM9" t="s">
        <v>5048</v>
      </c>
      <c r="IP9" t="s">
        <v>5067</v>
      </c>
      <c r="IQ9" t="s">
        <v>5068</v>
      </c>
      <c r="JD9" t="s">
        <v>5090</v>
      </c>
      <c r="JE9" t="s">
        <v>4957</v>
      </c>
    </row>
    <row r="10" spans="1:360">
      <c r="A10" s="1">
        <f>_xlfn.IFNA(_xlfn.IFNA(_xlfn.IFNA(_xlfn.IFNA(_xlfn.XLOOKUP(C10,お客様データ添付!G:G,お客様データ添付!E:E),_xlfn.XLOOKUP(C10,お客様データ添付!N:N,お客様データ添付!L:L)),_xlfn.XLOOKUP(C10,お客様データ添付!U:U,お客様データ添付!S:S)),_xlfn.XLOOKUP(C10,お客様データ添付!AB:AB,お客様データ添付!Z:Z)),_xlfn.XLOOKUP(C10,お客様データ添付!AI:AI,お客様データ添付!AG:AG))</f>
        <v>107</v>
      </c>
      <c r="B10" t="s">
        <v>2640</v>
      </c>
      <c r="C10" t="s">
        <v>1471</v>
      </c>
      <c r="D10" s="1">
        <f>IF(C10&lt;&gt;"",MATCH(C10,お客様データリスト!$A$2:$MV$2,0),"")</f>
        <v>24</v>
      </c>
      <c r="E10" s="1">
        <f t="shared" ca="1" si="0"/>
        <v>0</v>
      </c>
      <c r="F10" s="1">
        <f>_xlfn.IFNA(VLOOKUP($C10,お客様データ添付!$G:$J,4,FALSE),0)+
_xlfn.IFNA(VLOOKUP($C10,お客様データ添付!$N:$Q,4,FALSE),0)+
_xlfn.IFNA(VLOOKUP($C10,お客様データ添付!$U:$X,4,FALSE),0)+
_xlfn.IFNA(VLOOKUP($C10,お客様データ添付!$AB:$AE,4,FALSE),0)+
_xlfn.IFNA(VLOOKUP($C10,お客様データ添付!$AI:$AL,4,FALSE),0)</f>
        <v>0</v>
      </c>
      <c r="AR10" t="s">
        <v>4758</v>
      </c>
      <c r="AS10" t="s">
        <v>4759</v>
      </c>
      <c r="CJ10" t="s">
        <v>4812</v>
      </c>
      <c r="CK10" t="s">
        <v>4813</v>
      </c>
      <c r="HF10" t="s">
        <v>4968</v>
      </c>
      <c r="HG10" t="s">
        <v>4969</v>
      </c>
      <c r="HL10" t="s">
        <v>4996</v>
      </c>
      <c r="HM10" t="s">
        <v>4997</v>
      </c>
      <c r="JD10" t="s">
        <v>5091</v>
      </c>
      <c r="JE10" t="s">
        <v>5092</v>
      </c>
    </row>
    <row r="11" spans="1:360">
      <c r="A11" s="1">
        <f>_xlfn.IFNA(_xlfn.IFNA(_xlfn.IFNA(_xlfn.IFNA(_xlfn.XLOOKUP(C11,お客様データ添付!G:G,お客様データ添付!E:E),_xlfn.XLOOKUP(C11,お客様データ添付!N:N,お客様データ添付!L:L)),_xlfn.XLOOKUP(C11,お客様データ添付!U:U,お客様データ添付!S:S)),_xlfn.XLOOKUP(C11,お客様データ添付!AB:AB,お客様データ添付!Z:Z)),_xlfn.XLOOKUP(C11,お客様データ添付!AI:AI,お客様データ添付!AG:AG))</f>
        <v>108</v>
      </c>
      <c r="B11" t="s">
        <v>2641</v>
      </c>
      <c r="C11" t="s">
        <v>1472</v>
      </c>
      <c r="D11" s="1">
        <f>IF(C11&lt;&gt;"",MATCH(C11,お客様データリスト!$A$2:$MV$2,0),"")</f>
        <v>26</v>
      </c>
      <c r="E11" s="1">
        <f t="shared" ca="1" si="0"/>
        <v>0</v>
      </c>
      <c r="F11" s="1">
        <f>_xlfn.IFNA(VLOOKUP($C11,お客様データ添付!$G:$J,4,FALSE),0)+
_xlfn.IFNA(VLOOKUP($C11,お客様データ添付!$N:$Q,4,FALSE),0)+
_xlfn.IFNA(VLOOKUP($C11,お客様データ添付!$U:$X,4,FALSE),0)+
_xlfn.IFNA(VLOOKUP($C11,お客様データ添付!$AB:$AE,4,FALSE),0)+
_xlfn.IFNA(VLOOKUP($C11,お客様データ添付!$AI:$AL,4,FALSE),0)</f>
        <v>0</v>
      </c>
      <c r="AR11" t="s">
        <v>4760</v>
      </c>
      <c r="AS11" t="s">
        <v>4761</v>
      </c>
      <c r="CJ11" t="s">
        <v>4814</v>
      </c>
      <c r="CK11" t="s">
        <v>4815</v>
      </c>
      <c r="HL11" t="s">
        <v>4998</v>
      </c>
      <c r="HM11" t="s">
        <v>4999</v>
      </c>
      <c r="JD11" t="s">
        <v>5093</v>
      </c>
      <c r="JE11" t="s">
        <v>5094</v>
      </c>
    </row>
    <row r="12" spans="1:360">
      <c r="A12" s="1">
        <f>_xlfn.IFNA(_xlfn.IFNA(_xlfn.IFNA(_xlfn.IFNA(_xlfn.XLOOKUP(C12,お客様データ添付!G:G,お客様データ添付!E:E),_xlfn.XLOOKUP(C12,お客様データ添付!N:N,お客様データ添付!L:L)),_xlfn.XLOOKUP(C12,お客様データ添付!U:U,お客様データ添付!S:S)),_xlfn.XLOOKUP(C12,お客様データ添付!AB:AB,お客様データ添付!Z:Z)),_xlfn.XLOOKUP(C12,お客様データ添付!AI:AI,お客様データ添付!AG:AG))</f>
        <v>109</v>
      </c>
      <c r="B12" t="s">
        <v>2642</v>
      </c>
      <c r="C12" t="s">
        <v>1473</v>
      </c>
      <c r="D12" s="1">
        <f>IF(C12&lt;&gt;"",MATCH(C12,お客様データリスト!$A$2:$MV$2,0),"")</f>
        <v>28</v>
      </c>
      <c r="E12" s="1">
        <f t="shared" ca="1" si="0"/>
        <v>0</v>
      </c>
      <c r="F12" s="1">
        <f>_xlfn.IFNA(VLOOKUP($C12,お客様データ添付!$G:$J,4,FALSE),0)+
_xlfn.IFNA(VLOOKUP($C12,お客様データ添付!$N:$Q,4,FALSE),0)+
_xlfn.IFNA(VLOOKUP($C12,お客様データ添付!$U:$X,4,FALSE),0)+
_xlfn.IFNA(VLOOKUP($C12,お客様データ添付!$AB:$AE,4,FALSE),0)+
_xlfn.IFNA(VLOOKUP($C12,お客様データ添付!$AI:$AL,4,FALSE),0)</f>
        <v>0</v>
      </c>
      <c r="AR12" t="s">
        <v>4762</v>
      </c>
      <c r="AS12" t="s">
        <v>4763</v>
      </c>
      <c r="CJ12" t="s">
        <v>4816</v>
      </c>
      <c r="CK12" t="s">
        <v>4817</v>
      </c>
      <c r="HL12" t="s">
        <v>5000</v>
      </c>
      <c r="HM12" t="s">
        <v>5001</v>
      </c>
    </row>
    <row r="13" spans="1:360">
      <c r="A13" s="1">
        <f>_xlfn.IFNA(_xlfn.IFNA(_xlfn.IFNA(_xlfn.IFNA(_xlfn.XLOOKUP(C13,お客様データ添付!G:G,お客様データ添付!E:E),_xlfn.XLOOKUP(C13,お客様データ添付!N:N,お客様データ添付!L:L)),_xlfn.XLOOKUP(C13,お客様データ添付!U:U,お客様データ添付!S:S)),_xlfn.XLOOKUP(C13,お客様データ添付!AB:AB,お客様データ添付!Z:Z)),_xlfn.XLOOKUP(C13,お客様データ添付!AI:AI,お客様データ添付!AG:AG))</f>
        <v>110</v>
      </c>
      <c r="B13" t="s">
        <v>2643</v>
      </c>
      <c r="C13" t="s">
        <v>1474</v>
      </c>
      <c r="D13" s="1">
        <f>IF(C13&lt;&gt;"",MATCH(C13,お客様データリスト!$A$2:$MV$2,0),"")</f>
        <v>30</v>
      </c>
      <c r="E13" s="1">
        <f t="shared" ca="1" si="0"/>
        <v>0</v>
      </c>
      <c r="F13" s="1">
        <f>_xlfn.IFNA(VLOOKUP($C13,お客様データ添付!$G:$J,4,FALSE),0)+
_xlfn.IFNA(VLOOKUP($C13,お客様データ添付!$N:$Q,4,FALSE),0)+
_xlfn.IFNA(VLOOKUP($C13,お客様データ添付!$U:$X,4,FALSE),0)+
_xlfn.IFNA(VLOOKUP($C13,お客様データ添付!$AB:$AE,4,FALSE),0)+
_xlfn.IFNA(VLOOKUP($C13,お客様データ添付!$AI:$AL,4,FALSE),0)</f>
        <v>0</v>
      </c>
      <c r="AR13" t="s">
        <v>4764</v>
      </c>
      <c r="AS13" t="s">
        <v>4765</v>
      </c>
      <c r="CJ13" t="s">
        <v>4818</v>
      </c>
      <c r="CK13" t="s">
        <v>4819</v>
      </c>
      <c r="HL13" t="s">
        <v>5002</v>
      </c>
      <c r="HM13" t="s">
        <v>5003</v>
      </c>
    </row>
    <row r="14" spans="1:360">
      <c r="A14" s="1">
        <f>_xlfn.IFNA(_xlfn.IFNA(_xlfn.IFNA(_xlfn.IFNA(_xlfn.XLOOKUP(C14,お客様データ添付!G:G,お客様データ添付!E:E),_xlfn.XLOOKUP(C14,お客様データ添付!N:N,お客様データ添付!L:L)),_xlfn.XLOOKUP(C14,お客様データ添付!U:U,お客様データ添付!S:S)),_xlfn.XLOOKUP(C14,お客様データ添付!AB:AB,お客様データ添付!Z:Z)),_xlfn.XLOOKUP(C14,お客様データ添付!AI:AI,お客様データ添付!AG:AG))</f>
        <v>111</v>
      </c>
      <c r="B14" t="s">
        <v>2644</v>
      </c>
      <c r="C14" t="s">
        <v>1475</v>
      </c>
      <c r="D14" s="1">
        <f>IF(C14&lt;&gt;"",MATCH(C14,お客様データリスト!$A$2:$MV$2,0),"")</f>
        <v>32</v>
      </c>
      <c r="E14" s="1">
        <f t="shared" ca="1" si="0"/>
        <v>0</v>
      </c>
      <c r="F14" s="1">
        <f>_xlfn.IFNA(VLOOKUP($C14,お客様データ添付!$G:$J,4,FALSE),0)+
_xlfn.IFNA(VLOOKUP($C14,お客様データ添付!$N:$Q,4,FALSE),0)+
_xlfn.IFNA(VLOOKUP($C14,お客様データ添付!$U:$X,4,FALSE),0)+
_xlfn.IFNA(VLOOKUP($C14,お客様データ添付!$AB:$AE,4,FALSE),0)+
_xlfn.IFNA(VLOOKUP($C14,お客様データ添付!$AI:$AL,4,FALSE),0)</f>
        <v>0</v>
      </c>
      <c r="CJ14" t="s">
        <v>4820</v>
      </c>
      <c r="CK14" t="s">
        <v>4821</v>
      </c>
      <c r="HL14" t="s">
        <v>5004</v>
      </c>
      <c r="HM14" t="s">
        <v>5005</v>
      </c>
    </row>
    <row r="15" spans="1:360">
      <c r="A15" s="1">
        <f>_xlfn.IFNA(_xlfn.IFNA(_xlfn.IFNA(_xlfn.IFNA(_xlfn.XLOOKUP(C15,お客様データ添付!G:G,お客様データ添付!E:E),_xlfn.XLOOKUP(C15,お客様データ添付!N:N,お客様データ添付!L:L)),_xlfn.XLOOKUP(C15,お客様データ添付!U:U,お客様データ添付!S:S)),_xlfn.XLOOKUP(C15,お客様データ添付!AB:AB,お客様データ添付!Z:Z)),_xlfn.XLOOKUP(C15,お客様データ添付!AI:AI,お客様データ添付!AG:AG))</f>
        <v>112</v>
      </c>
      <c r="B15" t="s">
        <v>2645</v>
      </c>
      <c r="C15" t="s">
        <v>1476</v>
      </c>
      <c r="D15" s="1">
        <f>IF(C15&lt;&gt;"",MATCH(C15,お客様データリスト!$A$2:$MV$2,0),"")</f>
        <v>34</v>
      </c>
      <c r="E15" s="1">
        <f t="shared" ca="1" si="0"/>
        <v>0</v>
      </c>
      <c r="F15" s="1">
        <f>_xlfn.IFNA(VLOOKUP($C15,お客様データ添付!$G:$J,4,FALSE),0)+
_xlfn.IFNA(VLOOKUP($C15,お客様データ添付!$N:$Q,4,FALSE),0)+
_xlfn.IFNA(VLOOKUP($C15,お客様データ添付!$U:$X,4,FALSE),0)+
_xlfn.IFNA(VLOOKUP($C15,お客様データ添付!$AB:$AE,4,FALSE),0)+
_xlfn.IFNA(VLOOKUP($C15,お客様データ添付!$AI:$AL,4,FALSE),0)</f>
        <v>0</v>
      </c>
      <c r="HL15" t="s">
        <v>5006</v>
      </c>
      <c r="HM15" t="s">
        <v>5007</v>
      </c>
    </row>
    <row r="16" spans="1:360">
      <c r="A16" s="1">
        <f>_xlfn.IFNA(_xlfn.IFNA(_xlfn.IFNA(_xlfn.IFNA(_xlfn.XLOOKUP(C16,お客様データ添付!G:G,お客様データ添付!E:E),_xlfn.XLOOKUP(C16,お客様データ添付!N:N,お客様データ添付!L:L)),_xlfn.XLOOKUP(C16,お客様データ添付!U:U,お客様データ添付!S:S)),_xlfn.XLOOKUP(C16,お客様データ添付!AB:AB,お客様データ添付!Z:Z)),_xlfn.XLOOKUP(C16,お客様データ添付!AI:AI,お客様データ添付!AG:AG))</f>
        <v>118</v>
      </c>
      <c r="B16" t="s">
        <v>2657</v>
      </c>
      <c r="C16" t="s">
        <v>1479</v>
      </c>
      <c r="D16" s="1">
        <f>IF(C16&lt;&gt;"",MATCH(C16,お客様データリスト!$A$2:$MV$2,0),"")</f>
        <v>36</v>
      </c>
      <c r="E16" s="1">
        <f t="shared" ca="1" si="0"/>
        <v>0</v>
      </c>
      <c r="F16" s="1">
        <f>_xlfn.IFNA(VLOOKUP($C16,お客様データ添付!$G:$J,4,FALSE),0)+
_xlfn.IFNA(VLOOKUP($C16,お客様データ添付!$N:$Q,4,FALSE),0)+
_xlfn.IFNA(VLOOKUP($C16,お客様データ添付!$U:$X,4,FALSE),0)+
_xlfn.IFNA(VLOOKUP($C16,お客様データ添付!$AB:$AE,4,FALSE),0)+
_xlfn.IFNA(VLOOKUP($C16,お客様データ添付!$AI:$AL,4,FALSE),0)</f>
        <v>0</v>
      </c>
      <c r="HL16" t="s">
        <v>5008</v>
      </c>
      <c r="HM16" t="s">
        <v>5009</v>
      </c>
    </row>
    <row r="17" spans="1:221">
      <c r="A17" s="1">
        <f>_xlfn.IFNA(_xlfn.IFNA(_xlfn.IFNA(_xlfn.IFNA(_xlfn.XLOOKUP(C17,お客様データ添付!G:G,お客様データ添付!E:E),_xlfn.XLOOKUP(C17,お客様データ添付!N:N,お客様データ添付!L:L)),_xlfn.XLOOKUP(C17,お客様データ添付!U:U,お客様データ添付!S:S)),_xlfn.XLOOKUP(C17,お客様データ添付!AB:AB,お客様データ添付!Z:Z)),_xlfn.XLOOKUP(C17,お客様データ添付!AI:AI,お客様データ添付!AG:AG))</f>
        <v>119</v>
      </c>
      <c r="B17" t="s">
        <v>2658</v>
      </c>
      <c r="C17" t="s">
        <v>1480</v>
      </c>
      <c r="D17" s="1">
        <f>IF(C17&lt;&gt;"",MATCH(C17,お客様データリスト!$A$2:$MV$2,0),"")</f>
        <v>38</v>
      </c>
      <c r="E17" s="1">
        <f t="shared" ca="1" si="0"/>
        <v>0</v>
      </c>
      <c r="F17" s="1">
        <f>_xlfn.IFNA(VLOOKUP($C17,お客様データ添付!$G:$J,4,FALSE),0)+
_xlfn.IFNA(VLOOKUP($C17,お客様データ添付!$N:$Q,4,FALSE),0)+
_xlfn.IFNA(VLOOKUP($C17,お客様データ添付!$U:$X,4,FALSE),0)+
_xlfn.IFNA(VLOOKUP($C17,お客様データ添付!$AB:$AE,4,FALSE),0)+
_xlfn.IFNA(VLOOKUP($C17,お客様データ添付!$AI:$AL,4,FALSE),0)</f>
        <v>0</v>
      </c>
      <c r="HL17" t="s">
        <v>5010</v>
      </c>
      <c r="HM17" t="s">
        <v>5011</v>
      </c>
    </row>
    <row r="18" spans="1:221">
      <c r="A18" s="1">
        <f>_xlfn.IFNA(_xlfn.IFNA(_xlfn.IFNA(_xlfn.IFNA(_xlfn.XLOOKUP(C18,お客様データ添付!G:G,お客様データ添付!E:E),_xlfn.XLOOKUP(C18,お客様データ添付!N:N,お客様データ添付!L:L)),_xlfn.XLOOKUP(C18,お客様データ添付!U:U,お客様データ添付!S:S)),_xlfn.XLOOKUP(C18,お客様データ添付!AB:AB,お客様データ添付!Z:Z)),_xlfn.XLOOKUP(C18,お客様データ添付!AI:AI,お客様データ添付!AG:AG))</f>
        <v>120</v>
      </c>
      <c r="B18" t="s">
        <v>2661</v>
      </c>
      <c r="C18" t="s">
        <v>1483</v>
      </c>
      <c r="D18" s="1">
        <f>IF(C18&lt;&gt;"",MATCH(C18,お客様データリスト!$A$2:$MV$2,0),"")</f>
        <v>40</v>
      </c>
      <c r="E18" s="1">
        <f t="shared" ca="1" si="0"/>
        <v>0</v>
      </c>
      <c r="F18" s="1">
        <f>_xlfn.IFNA(VLOOKUP($C18,お客様データ添付!$G:$J,4,FALSE),0)+
_xlfn.IFNA(VLOOKUP($C18,お客様データ添付!$N:$Q,4,FALSE),0)+
_xlfn.IFNA(VLOOKUP($C18,お客様データ添付!$U:$X,4,FALSE),0)+
_xlfn.IFNA(VLOOKUP($C18,お客様データ添付!$AB:$AE,4,FALSE),0)+
_xlfn.IFNA(VLOOKUP($C18,お客様データ添付!$AI:$AL,4,FALSE),0)</f>
        <v>0</v>
      </c>
      <c r="HL18" t="s">
        <v>5012</v>
      </c>
      <c r="HM18" t="s">
        <v>5013</v>
      </c>
    </row>
    <row r="19" spans="1:221">
      <c r="A19" s="1">
        <f>_xlfn.IFNA(_xlfn.IFNA(_xlfn.IFNA(_xlfn.IFNA(_xlfn.XLOOKUP(C19,お客様データ添付!G:G,お客様データ添付!E:E),_xlfn.XLOOKUP(C19,お客様データ添付!N:N,お客様データ添付!L:L)),_xlfn.XLOOKUP(C19,お客様データ添付!U:U,お客様データ添付!S:S)),_xlfn.XLOOKUP(C19,お客様データ添付!AB:AB,お客様データ添付!Z:Z)),_xlfn.XLOOKUP(C19,お客様データ添付!AI:AI,お客様データ添付!AG:AG))</f>
        <v>121</v>
      </c>
      <c r="B19" t="s">
        <v>2639</v>
      </c>
      <c r="C19" t="s">
        <v>1484</v>
      </c>
      <c r="D19" s="1">
        <f>IF(C19&lt;&gt;"",MATCH(C19,お客様データリスト!$A$2:$MV$2,0),"")</f>
        <v>42</v>
      </c>
      <c r="E19" s="1">
        <f t="shared" ca="1" si="0"/>
        <v>0</v>
      </c>
      <c r="F19" s="1">
        <f>_xlfn.IFNA(VLOOKUP($C19,お客様データ添付!$G:$J,4,FALSE),0)+
_xlfn.IFNA(VLOOKUP($C19,お客様データ添付!$N:$Q,4,FALSE),0)+
_xlfn.IFNA(VLOOKUP($C19,お客様データ添付!$U:$X,4,FALSE),0)+
_xlfn.IFNA(VLOOKUP($C19,お客様データ添付!$AB:$AE,4,FALSE),0)+
_xlfn.IFNA(VLOOKUP($C19,お客様データ添付!$AI:$AL,4,FALSE),0)</f>
        <v>0</v>
      </c>
    </row>
    <row r="20" spans="1:221">
      <c r="A20" s="1">
        <f>_xlfn.IFNA(_xlfn.IFNA(_xlfn.IFNA(_xlfn.IFNA(_xlfn.XLOOKUP(C20,お客様データ添付!G:G,お客様データ添付!E:E),_xlfn.XLOOKUP(C20,お客様データ添付!N:N,お客様データ添付!L:L)),_xlfn.XLOOKUP(C20,お客様データ添付!U:U,お客様データ添付!S:S)),_xlfn.XLOOKUP(C20,お客様データ添付!AB:AB,お客様データ添付!Z:Z)),_xlfn.XLOOKUP(C20,お客様データ添付!AI:AI,お客様データ添付!AG:AG))</f>
        <v>201</v>
      </c>
      <c r="B20" t="s">
        <v>2663</v>
      </c>
      <c r="C20" t="s">
        <v>1486</v>
      </c>
      <c r="D20" s="1">
        <f>IF(C20&lt;&gt;"",MATCH(C20,お客様データリスト!$A$2:$MV$2,0),"")</f>
        <v>44</v>
      </c>
      <c r="E20" s="1">
        <f t="shared" ca="1" si="0"/>
        <v>10</v>
      </c>
      <c r="F20" s="1">
        <f>_xlfn.IFNA(VLOOKUP($C20,お客様データ添付!$G:$J,4,FALSE),0)+
_xlfn.IFNA(VLOOKUP($C20,お客様データ添付!$N:$Q,4,FALSE),0)+
_xlfn.IFNA(VLOOKUP($C20,お客様データ添付!$U:$X,4,FALSE),0)+
_xlfn.IFNA(VLOOKUP($C20,お客様データ添付!$AB:$AE,4,FALSE),0)+
_xlfn.IFNA(VLOOKUP($C20,お客様データ添付!$AI:$AL,4,FALSE),0)</f>
        <v>0</v>
      </c>
    </row>
    <row r="21" spans="1:221">
      <c r="A21" s="1">
        <f>_xlfn.IFNA(_xlfn.IFNA(_xlfn.IFNA(_xlfn.IFNA(_xlfn.XLOOKUP(C21,お客様データ添付!G:G,お客様データ添付!E:E),_xlfn.XLOOKUP(C21,お客様データ添付!N:N,お客様データ添付!L:L)),_xlfn.XLOOKUP(C21,お客様データ添付!U:U,お客様データ添付!S:S)),_xlfn.XLOOKUP(C21,お客様データ添付!AB:AB,お客様データ添付!Z:Z)),_xlfn.XLOOKUP(C21,お客様データ添付!AI:AI,お客様データ添付!AG:AG))</f>
        <v>202</v>
      </c>
      <c r="B21" t="s">
        <v>2665</v>
      </c>
      <c r="C21" t="s">
        <v>1487</v>
      </c>
      <c r="D21" s="1">
        <f>IF(C21&lt;&gt;"",MATCH(C21,お客様データリスト!$A$2:$MV$2,0),"")</f>
        <v>46</v>
      </c>
      <c r="E21" s="1">
        <f t="shared" ca="1" si="0"/>
        <v>2</v>
      </c>
      <c r="F21" s="1">
        <f>_xlfn.IFNA(VLOOKUP($C21,お客様データ添付!$G:$J,4,FALSE),0)+
_xlfn.IFNA(VLOOKUP($C21,お客様データ添付!$N:$Q,4,FALSE),0)+
_xlfn.IFNA(VLOOKUP($C21,お客様データ添付!$U:$X,4,FALSE),0)+
_xlfn.IFNA(VLOOKUP($C21,お客様データ添付!$AB:$AE,4,FALSE),0)+
_xlfn.IFNA(VLOOKUP($C21,お客様データ添付!$AI:$AL,4,FALSE),0)</f>
        <v>0</v>
      </c>
    </row>
    <row r="22" spans="1:221">
      <c r="A22" s="1">
        <f>_xlfn.IFNA(_xlfn.IFNA(_xlfn.IFNA(_xlfn.IFNA(_xlfn.XLOOKUP(C22,お客様データ添付!G:G,お客様データ添付!E:E),_xlfn.XLOOKUP(C22,お客様データ添付!N:N,お客様データ添付!L:L)),_xlfn.XLOOKUP(C22,お客様データ添付!U:U,お客様データ添付!S:S)),_xlfn.XLOOKUP(C22,お客様データ添付!AB:AB,お客様データ添付!Z:Z)),_xlfn.XLOOKUP(C22,お客様データ添付!AI:AI,お客様データ添付!AG:AG))</f>
        <v>203</v>
      </c>
      <c r="B22" t="s">
        <v>2666</v>
      </c>
      <c r="C22" t="s">
        <v>1488</v>
      </c>
      <c r="D22" s="1">
        <f>IF(C22&lt;&gt;"",MATCH(C22,お客様データリスト!$A$2:$MV$2,0),"")</f>
        <v>48</v>
      </c>
      <c r="E22" s="1">
        <f t="shared" ca="1" si="0"/>
        <v>2</v>
      </c>
      <c r="F22" s="1">
        <f>_xlfn.IFNA(VLOOKUP($C22,お客様データ添付!$G:$J,4,FALSE),0)+
_xlfn.IFNA(VLOOKUP($C22,お客様データ添付!$N:$Q,4,FALSE),0)+
_xlfn.IFNA(VLOOKUP($C22,お客様データ添付!$U:$X,4,FALSE),0)+
_xlfn.IFNA(VLOOKUP($C22,お客様データ添付!$AB:$AE,4,FALSE),0)+
_xlfn.IFNA(VLOOKUP($C22,お客様データ添付!$AI:$AL,4,FALSE),0)</f>
        <v>0</v>
      </c>
    </row>
    <row r="23" spans="1:221">
      <c r="A23" s="1">
        <f>_xlfn.IFNA(_xlfn.IFNA(_xlfn.IFNA(_xlfn.IFNA(_xlfn.XLOOKUP(C23,お客様データ添付!G:G,お客様データ添付!E:E),_xlfn.XLOOKUP(C23,お客様データ添付!N:N,お客様データ添付!L:L)),_xlfn.XLOOKUP(C23,お客様データ添付!U:U,お客様データ添付!S:S)),_xlfn.XLOOKUP(C23,お客様データ添付!AB:AB,お客様データ添付!Z:Z)),_xlfn.XLOOKUP(C23,お客様データ添付!AI:AI,お客様データ添付!AG:AG))</f>
        <v>204</v>
      </c>
      <c r="B23" t="s">
        <v>2667</v>
      </c>
      <c r="C23" t="s">
        <v>1489</v>
      </c>
      <c r="D23" s="1">
        <f>IF(C23&lt;&gt;"",MATCH(C23,お客様データリスト!$A$2:$MV$2,0),"")</f>
        <v>50</v>
      </c>
      <c r="E23" s="1">
        <f t="shared" ca="1" si="0"/>
        <v>0</v>
      </c>
      <c r="F23" s="1">
        <f>_xlfn.IFNA(VLOOKUP($C23,お客様データ添付!$G:$J,4,FALSE),0)+
_xlfn.IFNA(VLOOKUP($C23,お客様データ添付!$N:$Q,4,FALSE),0)+
_xlfn.IFNA(VLOOKUP($C23,お客様データ添付!$U:$X,4,FALSE),0)+
_xlfn.IFNA(VLOOKUP($C23,お客様データ添付!$AB:$AE,4,FALSE),0)+
_xlfn.IFNA(VLOOKUP($C23,お客様データ添付!$AI:$AL,4,FALSE),0)</f>
        <v>0</v>
      </c>
    </row>
    <row r="24" spans="1:221">
      <c r="A24" s="1">
        <f>_xlfn.IFNA(_xlfn.IFNA(_xlfn.IFNA(_xlfn.IFNA(_xlfn.XLOOKUP(C24,お客様データ添付!G:G,お客様データ添付!E:E),_xlfn.XLOOKUP(C24,お客様データ添付!N:N,お客様データ添付!L:L)),_xlfn.XLOOKUP(C24,お客様データ添付!U:U,お客様データ添付!S:S)),_xlfn.XLOOKUP(C24,お客様データ添付!AB:AB,お客様データ添付!Z:Z)),_xlfn.XLOOKUP(C24,お客様データ添付!AI:AI,お客様データ添付!AG:AG))</f>
        <v>205</v>
      </c>
      <c r="B24" t="s">
        <v>2640</v>
      </c>
      <c r="C24" t="s">
        <v>1490</v>
      </c>
      <c r="D24" s="1">
        <f>IF(C24&lt;&gt;"",MATCH(C24,お客様データリスト!$A$2:$MV$2,0),"")</f>
        <v>52</v>
      </c>
      <c r="E24" s="1">
        <f t="shared" ca="1" si="0"/>
        <v>1</v>
      </c>
      <c r="F24" s="1">
        <f>_xlfn.IFNA(VLOOKUP($C24,お客様データ添付!$G:$J,4,FALSE),0)+
_xlfn.IFNA(VLOOKUP($C24,お客様データ添付!$N:$Q,4,FALSE),0)+
_xlfn.IFNA(VLOOKUP($C24,お客様データ添付!$U:$X,4,FALSE),0)+
_xlfn.IFNA(VLOOKUP($C24,お客様データ添付!$AB:$AE,4,FALSE),0)+
_xlfn.IFNA(VLOOKUP($C24,お客様データ添付!$AI:$AL,4,FALSE),0)</f>
        <v>0</v>
      </c>
    </row>
    <row r="25" spans="1:221">
      <c r="A25" s="1">
        <f>_xlfn.IFNA(_xlfn.IFNA(_xlfn.IFNA(_xlfn.IFNA(_xlfn.XLOOKUP(C25,お客様データ添付!G:G,お客様データ添付!E:E),_xlfn.XLOOKUP(C25,お客様データ添付!N:N,お客様データ添付!L:L)),_xlfn.XLOOKUP(C25,お客様データ添付!U:U,お客様データ添付!S:S)),_xlfn.XLOOKUP(C25,お客様データ添付!AB:AB,お客様データ添付!Z:Z)),_xlfn.XLOOKUP(C25,お客様データ添付!AI:AI,お客様データ添付!AG:AG))</f>
        <v>206</v>
      </c>
      <c r="B25" t="s">
        <v>2668</v>
      </c>
      <c r="C25" t="s">
        <v>1491</v>
      </c>
      <c r="D25" s="1">
        <f>IF(C25&lt;&gt;"",MATCH(C25,お客様データリスト!$A$2:$MV$2,0),"")</f>
        <v>54</v>
      </c>
      <c r="E25" s="1">
        <f t="shared" ca="1" si="0"/>
        <v>1</v>
      </c>
      <c r="F25" s="1">
        <f>_xlfn.IFNA(VLOOKUP($C25,お客様データ添付!$G:$J,4,FALSE),0)+
_xlfn.IFNA(VLOOKUP($C25,お客様データ添付!$N:$Q,4,FALSE),0)+
_xlfn.IFNA(VLOOKUP($C25,お客様データ添付!$U:$X,4,FALSE),0)+
_xlfn.IFNA(VLOOKUP($C25,お客様データ添付!$AB:$AE,4,FALSE),0)+
_xlfn.IFNA(VLOOKUP($C25,お客様データ添付!$AI:$AL,4,FALSE),0)</f>
        <v>0</v>
      </c>
    </row>
    <row r="26" spans="1:221">
      <c r="A26" s="1">
        <f>_xlfn.IFNA(_xlfn.IFNA(_xlfn.IFNA(_xlfn.IFNA(_xlfn.XLOOKUP(C26,お客様データ添付!G:G,お客様データ添付!E:E),_xlfn.XLOOKUP(C26,お客様データ添付!N:N,お客様データ添付!L:L)),_xlfn.XLOOKUP(C26,お客様データ添付!U:U,お客様データ添付!S:S)),_xlfn.XLOOKUP(C26,お客様データ添付!AB:AB,お客様データ添付!Z:Z)),_xlfn.XLOOKUP(C26,お客様データ添付!AI:AI,お客様データ添付!AG:AG))</f>
        <v>207</v>
      </c>
      <c r="B26" t="s">
        <v>2669</v>
      </c>
      <c r="C26" t="s">
        <v>1492</v>
      </c>
      <c r="D26" s="1">
        <f>IF(C26&lt;&gt;"",MATCH(C26,お客様データリスト!$A$2:$MV$2,0),"")</f>
        <v>56</v>
      </c>
      <c r="E26" s="1">
        <f t="shared" ca="1" si="0"/>
        <v>1</v>
      </c>
      <c r="F26" s="1">
        <f>_xlfn.IFNA(VLOOKUP($C26,お客様データ添付!$G:$J,4,FALSE),0)+
_xlfn.IFNA(VLOOKUP($C26,お客様データ添付!$N:$Q,4,FALSE),0)+
_xlfn.IFNA(VLOOKUP($C26,お客様データ添付!$U:$X,4,FALSE),0)+
_xlfn.IFNA(VLOOKUP($C26,お客様データ添付!$AB:$AE,4,FALSE),0)+
_xlfn.IFNA(VLOOKUP($C26,お客様データ添付!$AI:$AL,4,FALSE),0)</f>
        <v>0</v>
      </c>
    </row>
    <row r="27" spans="1:221">
      <c r="A27" s="1">
        <f>_xlfn.IFNA(_xlfn.IFNA(_xlfn.IFNA(_xlfn.IFNA(_xlfn.XLOOKUP(C27,お客様データ添付!G:G,お客様データ添付!E:E),_xlfn.XLOOKUP(C27,お客様データ添付!N:N,お客様データ添付!L:L)),_xlfn.XLOOKUP(C27,お客様データ添付!U:U,お客様データ添付!S:S)),_xlfn.XLOOKUP(C27,お客様データ添付!AB:AB,お客様データ添付!Z:Z)),_xlfn.XLOOKUP(C27,お客様データ添付!AI:AI,お客様データ添付!AG:AG))</f>
        <v>208</v>
      </c>
      <c r="B27" t="s">
        <v>2670</v>
      </c>
      <c r="C27" t="s">
        <v>1493</v>
      </c>
      <c r="D27" s="1">
        <f>IF(C27&lt;&gt;"",MATCH(C27,お客様データリスト!$A$2:$MV$2,0),"")</f>
        <v>58</v>
      </c>
      <c r="E27" s="1">
        <f t="shared" ca="1" si="0"/>
        <v>0</v>
      </c>
      <c r="F27" s="1">
        <f>_xlfn.IFNA(VLOOKUP($C27,お客様データ添付!$G:$J,4,FALSE),0)+
_xlfn.IFNA(VLOOKUP($C27,お客様データ添付!$N:$Q,4,FALSE),0)+
_xlfn.IFNA(VLOOKUP($C27,お客様データ添付!$U:$X,4,FALSE),0)+
_xlfn.IFNA(VLOOKUP($C27,お客様データ添付!$AB:$AE,4,FALSE),0)+
_xlfn.IFNA(VLOOKUP($C27,お客様データ添付!$AI:$AL,4,FALSE),0)</f>
        <v>0</v>
      </c>
    </row>
    <row r="28" spans="1:221">
      <c r="A28" s="1">
        <f>_xlfn.IFNA(_xlfn.IFNA(_xlfn.IFNA(_xlfn.IFNA(_xlfn.XLOOKUP(C28,お客様データ添付!G:G,お客様データ添付!E:E),_xlfn.XLOOKUP(C28,お客様データ添付!N:N,お客様データ添付!L:L)),_xlfn.XLOOKUP(C28,お客様データ添付!U:U,お客様データ添付!S:S)),_xlfn.XLOOKUP(C28,お客様データ添付!AB:AB,お客様データ添付!Z:Z)),_xlfn.XLOOKUP(C28,お客様データ添付!AI:AI,お客様データ添付!AG:AG))</f>
        <v>209</v>
      </c>
      <c r="B28" t="s">
        <v>2671</v>
      </c>
      <c r="C28" t="s">
        <v>1494</v>
      </c>
      <c r="D28" s="1">
        <f>IF(C28&lt;&gt;"",MATCH(C28,お客様データリスト!$A$2:$MV$2,0),"")</f>
        <v>60</v>
      </c>
      <c r="E28" s="1">
        <f t="shared" ca="1" si="0"/>
        <v>1</v>
      </c>
      <c r="F28" s="1">
        <f>_xlfn.IFNA(VLOOKUP($C28,お客様データ添付!$G:$J,4,FALSE),0)+
_xlfn.IFNA(VLOOKUP($C28,お客様データ添付!$N:$Q,4,FALSE),0)+
_xlfn.IFNA(VLOOKUP($C28,お客様データ添付!$U:$X,4,FALSE),0)+
_xlfn.IFNA(VLOOKUP($C28,お客様データ添付!$AB:$AE,4,FALSE),0)+
_xlfn.IFNA(VLOOKUP($C28,お客様データ添付!$AI:$AL,4,FALSE),0)</f>
        <v>0</v>
      </c>
    </row>
    <row r="29" spans="1:221">
      <c r="A29" s="1">
        <f>_xlfn.IFNA(_xlfn.IFNA(_xlfn.IFNA(_xlfn.IFNA(_xlfn.XLOOKUP(C29,お客様データ添付!G:G,お客様データ添付!E:E),_xlfn.XLOOKUP(C29,お客様データ添付!N:N,お客様データ添付!L:L)),_xlfn.XLOOKUP(C29,お客様データ添付!U:U,お客様データ添付!S:S)),_xlfn.XLOOKUP(C29,お客様データ添付!AB:AB,お客様データ添付!Z:Z)),_xlfn.XLOOKUP(C29,お客様データ添付!AI:AI,お客様データ添付!AG:AG))</f>
        <v>210</v>
      </c>
      <c r="B29" t="s">
        <v>2672</v>
      </c>
      <c r="C29" t="s">
        <v>1497</v>
      </c>
      <c r="D29" s="1">
        <f>IF(C29&lt;&gt;"",MATCH(C29,お客様データリスト!$A$2:$MV$2,0),"")</f>
        <v>62</v>
      </c>
      <c r="E29" s="1">
        <f t="shared" ca="1" si="0"/>
        <v>0</v>
      </c>
      <c r="F29" s="1">
        <f>_xlfn.IFNA(VLOOKUP($C29,お客様データ添付!$G:$J,4,FALSE),0)+
_xlfn.IFNA(VLOOKUP($C29,お客様データ添付!$N:$Q,4,FALSE),0)+
_xlfn.IFNA(VLOOKUP($C29,お客様データ添付!$U:$X,4,FALSE),0)+
_xlfn.IFNA(VLOOKUP($C29,お客様データ添付!$AB:$AE,4,FALSE),0)+
_xlfn.IFNA(VLOOKUP($C29,お客様データ添付!$AI:$AL,4,FALSE),0)</f>
        <v>0</v>
      </c>
    </row>
    <row r="30" spans="1:221">
      <c r="A30" s="1">
        <f>_xlfn.IFNA(_xlfn.IFNA(_xlfn.IFNA(_xlfn.IFNA(_xlfn.XLOOKUP(C30,お客様データ添付!G:G,お客様データ添付!E:E),_xlfn.XLOOKUP(C30,お客様データ添付!N:N,お客様データ添付!L:L)),_xlfn.XLOOKUP(C30,お客様データ添付!U:U,お客様データ添付!S:S)),_xlfn.XLOOKUP(C30,お客様データ添付!AB:AB,お客様データ添付!Z:Z)),_xlfn.XLOOKUP(C30,お客様データ添付!AI:AI,お客様データ添付!AG:AG))</f>
        <v>211</v>
      </c>
      <c r="B30" t="s">
        <v>2675</v>
      </c>
      <c r="C30" t="s">
        <v>1500</v>
      </c>
      <c r="D30" s="1">
        <f>IF(C30&lt;&gt;"",MATCH(C30,お客様データリスト!$A$2:$MV$2,0),"")</f>
        <v>64</v>
      </c>
      <c r="E30" s="1">
        <f t="shared" ca="1" si="0"/>
        <v>0</v>
      </c>
      <c r="F30" s="1">
        <f>_xlfn.IFNA(VLOOKUP($C30,お客様データ添付!$G:$J,4,FALSE),0)+
_xlfn.IFNA(VLOOKUP($C30,お客様データ添付!$N:$Q,4,FALSE),0)+
_xlfn.IFNA(VLOOKUP($C30,お客様データ添付!$U:$X,4,FALSE),0)+
_xlfn.IFNA(VLOOKUP($C30,お客様データ添付!$AB:$AE,4,FALSE),0)+
_xlfn.IFNA(VLOOKUP($C30,お客様データ添付!$AI:$AL,4,FALSE),0)</f>
        <v>0</v>
      </c>
    </row>
    <row r="31" spans="1:221">
      <c r="A31" s="1">
        <f>_xlfn.IFNA(_xlfn.IFNA(_xlfn.IFNA(_xlfn.IFNA(_xlfn.XLOOKUP(C31,お客様データ添付!G:G,お客様データ添付!E:E),_xlfn.XLOOKUP(C31,お客様データ添付!N:N,お客様データ添付!L:L)),_xlfn.XLOOKUP(C31,お客様データ添付!U:U,お客様データ添付!S:S)),_xlfn.XLOOKUP(C31,お客様データ添付!AB:AB,お客様データ添付!Z:Z)),_xlfn.XLOOKUP(C31,お客様データ添付!AI:AI,お客様データ添付!AG:AG))</f>
        <v>212</v>
      </c>
      <c r="B31" t="s">
        <v>2675</v>
      </c>
      <c r="C31" t="s">
        <v>1501</v>
      </c>
      <c r="D31" s="1">
        <f>IF(C31&lt;&gt;"",MATCH(C31,お客様データリスト!$A$2:$MV$2,0),"")</f>
        <v>66</v>
      </c>
      <c r="E31" s="1">
        <f t="shared" ca="1" si="0"/>
        <v>0</v>
      </c>
      <c r="F31" s="1">
        <f>_xlfn.IFNA(VLOOKUP($C31,お客様データ添付!$G:$J,4,FALSE),0)+
_xlfn.IFNA(VLOOKUP($C31,お客様データ添付!$N:$Q,4,FALSE),0)+
_xlfn.IFNA(VLOOKUP($C31,お客様データ添付!$U:$X,4,FALSE),0)+
_xlfn.IFNA(VLOOKUP($C31,お客様データ添付!$AB:$AE,4,FALSE),0)+
_xlfn.IFNA(VLOOKUP($C31,お客様データ添付!$AI:$AL,4,FALSE),0)</f>
        <v>0</v>
      </c>
    </row>
    <row r="32" spans="1:221">
      <c r="A32" s="1">
        <f>_xlfn.IFNA(_xlfn.IFNA(_xlfn.IFNA(_xlfn.IFNA(_xlfn.XLOOKUP(C32,お客様データ添付!G:G,お客様データ添付!E:E),_xlfn.XLOOKUP(C32,お客様データ添付!N:N,お客様データ添付!L:L)),_xlfn.XLOOKUP(C32,お客様データ添付!U:U,お客様データ添付!S:S)),_xlfn.XLOOKUP(C32,お客様データ添付!AB:AB,お客様データ添付!Z:Z)),_xlfn.XLOOKUP(C32,お客様データ添付!AI:AI,お客様データ添付!AG:AG))</f>
        <v>213</v>
      </c>
      <c r="B32" t="s">
        <v>2675</v>
      </c>
      <c r="C32" t="s">
        <v>1502</v>
      </c>
      <c r="D32" s="1">
        <f>IF(C32&lt;&gt;"",MATCH(C32,お客様データリスト!$A$2:$MV$2,0),"")</f>
        <v>68</v>
      </c>
      <c r="E32" s="1">
        <f t="shared" ca="1" si="0"/>
        <v>0</v>
      </c>
      <c r="F32" s="1">
        <f>_xlfn.IFNA(VLOOKUP($C32,お客様データ添付!$G:$J,4,FALSE),0)+
_xlfn.IFNA(VLOOKUP($C32,お客様データ添付!$N:$Q,4,FALSE),0)+
_xlfn.IFNA(VLOOKUP($C32,お客様データ添付!$U:$X,4,FALSE),0)+
_xlfn.IFNA(VLOOKUP($C32,お客様データ添付!$AB:$AE,4,FALSE),0)+
_xlfn.IFNA(VLOOKUP($C32,お客様データ添付!$AI:$AL,4,FALSE),0)</f>
        <v>0</v>
      </c>
    </row>
    <row r="33" spans="1:6">
      <c r="A33" s="1">
        <f>_xlfn.IFNA(_xlfn.IFNA(_xlfn.IFNA(_xlfn.IFNA(_xlfn.XLOOKUP(C33,お客様データ添付!G:G,お客様データ添付!E:E),_xlfn.XLOOKUP(C33,お客様データ添付!N:N,お客様データ添付!L:L)),_xlfn.XLOOKUP(C33,お客様データ添付!U:U,お客様データ添付!S:S)),_xlfn.XLOOKUP(C33,お客様データ添付!AB:AB,お客様データ添付!Z:Z)),_xlfn.XLOOKUP(C33,お客様データ添付!AI:AI,お客様データ添付!AG:AG))</f>
        <v>214</v>
      </c>
      <c r="B33" t="s">
        <v>2675</v>
      </c>
      <c r="C33" t="s">
        <v>1503</v>
      </c>
      <c r="D33" s="1">
        <f>IF(C33&lt;&gt;"",MATCH(C33,お客様データリスト!$A$2:$MV$2,0),"")</f>
        <v>70</v>
      </c>
      <c r="E33" s="1">
        <f t="shared" ca="1" si="0"/>
        <v>0</v>
      </c>
      <c r="F33" s="1">
        <f>_xlfn.IFNA(VLOOKUP($C33,お客様データ添付!$G:$J,4,FALSE),0)+
_xlfn.IFNA(VLOOKUP($C33,お客様データ添付!$N:$Q,4,FALSE),0)+
_xlfn.IFNA(VLOOKUP($C33,お客様データ添付!$U:$X,4,FALSE),0)+
_xlfn.IFNA(VLOOKUP($C33,お客様データ添付!$AB:$AE,4,FALSE),0)+
_xlfn.IFNA(VLOOKUP($C33,お客様データ添付!$AI:$AL,4,FALSE),0)</f>
        <v>0</v>
      </c>
    </row>
    <row r="34" spans="1:6">
      <c r="A34" s="1">
        <f>_xlfn.IFNA(_xlfn.IFNA(_xlfn.IFNA(_xlfn.IFNA(_xlfn.XLOOKUP(C34,お客様データ添付!G:G,お客様データ添付!E:E),_xlfn.XLOOKUP(C34,お客様データ添付!N:N,お客様データ添付!L:L)),_xlfn.XLOOKUP(C34,お客様データ添付!U:U,お客様データ添付!S:S)),_xlfn.XLOOKUP(C34,お客様データ添付!AB:AB,お客様データ添付!Z:Z)),_xlfn.XLOOKUP(C34,お客様データ添付!AI:AI,お客様データ添付!AG:AG))</f>
        <v>215</v>
      </c>
      <c r="B34" t="s">
        <v>2640</v>
      </c>
      <c r="C34" t="s">
        <v>1506</v>
      </c>
      <c r="D34" s="1">
        <f>IF(C34&lt;&gt;"",MATCH(C34,お客様データリスト!$A$2:$MV$2,0),"")</f>
        <v>72</v>
      </c>
      <c r="E34" s="1">
        <f t="shared" ca="1" si="0"/>
        <v>1</v>
      </c>
      <c r="F34" s="1">
        <f>_xlfn.IFNA(VLOOKUP($C34,お客様データ添付!$G:$J,4,FALSE),0)+
_xlfn.IFNA(VLOOKUP($C34,お客様データ添付!$N:$Q,4,FALSE),0)+
_xlfn.IFNA(VLOOKUP($C34,お客様データ添付!$U:$X,4,FALSE),0)+
_xlfn.IFNA(VLOOKUP($C34,お客様データ添付!$AB:$AE,4,FALSE),0)+
_xlfn.IFNA(VLOOKUP($C34,お客様データ添付!$AI:$AL,4,FALSE),0)</f>
        <v>0</v>
      </c>
    </row>
    <row r="35" spans="1:6">
      <c r="A35" s="1">
        <f>_xlfn.IFNA(_xlfn.IFNA(_xlfn.IFNA(_xlfn.IFNA(_xlfn.XLOOKUP(C35,お客様データ添付!G:G,お客様データ添付!E:E),_xlfn.XLOOKUP(C35,お客様データ添付!N:N,お客様データ添付!L:L)),_xlfn.XLOOKUP(C35,お客様データ添付!U:U,お客様データ添付!S:S)),_xlfn.XLOOKUP(C35,お客様データ添付!AB:AB,お客様データ添付!Z:Z)),_xlfn.XLOOKUP(C35,お客様データ添付!AI:AI,お客様データ添付!AG:AG))</f>
        <v>216</v>
      </c>
      <c r="B35" t="s">
        <v>2681</v>
      </c>
      <c r="C35" t="s">
        <v>1507</v>
      </c>
      <c r="D35" s="1">
        <f>IF(C35&lt;&gt;"",MATCH(C35,お客様データリスト!$A$2:$MV$2,0),"")</f>
        <v>74</v>
      </c>
      <c r="E35" s="1">
        <f t="shared" ca="1" si="0"/>
        <v>2</v>
      </c>
      <c r="F35" s="1">
        <f>_xlfn.IFNA(VLOOKUP($C35,お客様データ添付!$G:$J,4,FALSE),0)+
_xlfn.IFNA(VLOOKUP($C35,お客様データ添付!$N:$Q,4,FALSE),0)+
_xlfn.IFNA(VLOOKUP($C35,お客様データ添付!$U:$X,4,FALSE),0)+
_xlfn.IFNA(VLOOKUP($C35,お客様データ添付!$AB:$AE,4,FALSE),0)+
_xlfn.IFNA(VLOOKUP($C35,お客様データ添付!$AI:$AL,4,FALSE),0)</f>
        <v>0</v>
      </c>
    </row>
    <row r="36" spans="1:6">
      <c r="A36" s="1">
        <f>_xlfn.IFNA(_xlfn.IFNA(_xlfn.IFNA(_xlfn.IFNA(_xlfn.XLOOKUP(C36,お客様データ添付!G:G,お客様データ添付!E:E),_xlfn.XLOOKUP(C36,お客様データ添付!N:N,お客様データ添付!L:L)),_xlfn.XLOOKUP(C36,お客様データ添付!U:U,お客様データ添付!S:S)),_xlfn.XLOOKUP(C36,お客様データ添付!AB:AB,お客様データ添付!Z:Z)),_xlfn.XLOOKUP(C36,お客様データ添付!AI:AI,お客様データ添付!AG:AG))</f>
        <v>217</v>
      </c>
      <c r="B36" t="s">
        <v>2682</v>
      </c>
      <c r="C36" t="s">
        <v>1508</v>
      </c>
      <c r="D36" s="1">
        <f>IF(C36&lt;&gt;"",MATCH(C36,お客様データリスト!$A$2:$MV$2,0),"")</f>
        <v>76</v>
      </c>
      <c r="E36" s="1">
        <f t="shared" ca="1" si="0"/>
        <v>2</v>
      </c>
      <c r="F36" s="1">
        <f>_xlfn.IFNA(VLOOKUP($C36,お客様データ添付!$G:$J,4,FALSE),0)+
_xlfn.IFNA(VLOOKUP($C36,お客様データ添付!$N:$Q,4,FALSE),0)+
_xlfn.IFNA(VLOOKUP($C36,お客様データ添付!$U:$X,4,FALSE),0)+
_xlfn.IFNA(VLOOKUP($C36,お客様データ添付!$AB:$AE,4,FALSE),0)+
_xlfn.IFNA(VLOOKUP($C36,お客様データ添付!$AI:$AL,4,FALSE),0)</f>
        <v>0</v>
      </c>
    </row>
    <row r="37" spans="1:6">
      <c r="A37" s="1">
        <f>_xlfn.IFNA(_xlfn.IFNA(_xlfn.IFNA(_xlfn.IFNA(_xlfn.XLOOKUP(C37,お客様データ添付!G:G,お客様データ添付!E:E),_xlfn.XLOOKUP(C37,お客様データ添付!N:N,お客様データ添付!L:L)),_xlfn.XLOOKUP(C37,お客様データ添付!U:U,お客様データ添付!S:S)),_xlfn.XLOOKUP(C37,お客様データ添付!AB:AB,お客様データ添付!Z:Z)),_xlfn.XLOOKUP(C37,お客様データ添付!AI:AI,お客様データ添付!AG:AG))</f>
        <v>218</v>
      </c>
      <c r="B37" t="s">
        <v>2683</v>
      </c>
      <c r="C37" t="s">
        <v>1509</v>
      </c>
      <c r="D37" s="1">
        <f>IF(C37&lt;&gt;"",MATCH(C37,お客様データリスト!$A$2:$MV$2,0),"")</f>
        <v>78</v>
      </c>
      <c r="E37" s="1">
        <f t="shared" ca="1" si="0"/>
        <v>1</v>
      </c>
      <c r="F37" s="1">
        <f>_xlfn.IFNA(VLOOKUP($C37,お客様データ添付!$G:$J,4,FALSE),0)+
_xlfn.IFNA(VLOOKUP($C37,お客様データ添付!$N:$Q,4,FALSE),0)+
_xlfn.IFNA(VLOOKUP($C37,お客様データ添付!$U:$X,4,FALSE),0)+
_xlfn.IFNA(VLOOKUP($C37,お客様データ添付!$AB:$AE,4,FALSE),0)+
_xlfn.IFNA(VLOOKUP($C37,お客様データ添付!$AI:$AL,4,FALSE),0)</f>
        <v>0</v>
      </c>
    </row>
    <row r="38" spans="1:6">
      <c r="A38" s="1">
        <f>_xlfn.IFNA(_xlfn.IFNA(_xlfn.IFNA(_xlfn.IFNA(_xlfn.XLOOKUP(C38,お客様データ添付!G:G,お客様データ添付!E:E),_xlfn.XLOOKUP(C38,お客様データ添付!N:N,お客様データ添付!L:L)),_xlfn.XLOOKUP(C38,お客様データ添付!U:U,お客様データ添付!S:S)),_xlfn.XLOOKUP(C38,お客様データ添付!AB:AB,お客様データ添付!Z:Z)),_xlfn.XLOOKUP(C38,お客様データ添付!AI:AI,お客様データ添付!AG:AG))</f>
        <v>219</v>
      </c>
      <c r="B38" t="s">
        <v>2684</v>
      </c>
      <c r="C38" t="s">
        <v>1510</v>
      </c>
      <c r="D38" s="1">
        <f>IF(C38&lt;&gt;"",MATCH(C38,お客様データリスト!$A$2:$MV$2,0),"")</f>
        <v>80</v>
      </c>
      <c r="E38" s="1">
        <f t="shared" ca="1" si="0"/>
        <v>0</v>
      </c>
      <c r="F38" s="1">
        <f>_xlfn.IFNA(VLOOKUP($C38,お客様データ添付!$G:$J,4,FALSE),0)+
_xlfn.IFNA(VLOOKUP($C38,お客様データ添付!$N:$Q,4,FALSE),0)+
_xlfn.IFNA(VLOOKUP($C38,お客様データ添付!$U:$X,4,FALSE),0)+
_xlfn.IFNA(VLOOKUP($C38,お客様データ添付!$AB:$AE,4,FALSE),0)+
_xlfn.IFNA(VLOOKUP($C38,お客様データ添付!$AI:$AL,4,FALSE),0)</f>
        <v>0</v>
      </c>
    </row>
    <row r="39" spans="1:6">
      <c r="A39" s="1">
        <f>_xlfn.IFNA(_xlfn.IFNA(_xlfn.IFNA(_xlfn.IFNA(_xlfn.XLOOKUP(C39,お客様データ添付!G:G,お客様データ添付!E:E),_xlfn.XLOOKUP(C39,お客様データ添付!N:N,お客様データ添付!L:L)),_xlfn.XLOOKUP(C39,お客様データ添付!U:U,お客様データ添付!S:S)),_xlfn.XLOOKUP(C39,お客様データ添付!AB:AB,お客様データ添付!Z:Z)),_xlfn.XLOOKUP(C39,お客様データ添付!AI:AI,お客様データ添付!AG:AG))</f>
        <v>220</v>
      </c>
      <c r="B39" t="s">
        <v>2685</v>
      </c>
      <c r="C39" t="s">
        <v>1511</v>
      </c>
      <c r="D39" s="1">
        <f>IF(C39&lt;&gt;"",MATCH(C39,お客様データリスト!$A$2:$MV$2,0),"")</f>
        <v>82</v>
      </c>
      <c r="E39" s="1">
        <f t="shared" ca="1" si="0"/>
        <v>1</v>
      </c>
      <c r="F39" s="1">
        <f>_xlfn.IFNA(VLOOKUP($C39,お客様データ添付!$G:$J,4,FALSE),0)+
_xlfn.IFNA(VLOOKUP($C39,お客様データ添付!$N:$Q,4,FALSE),0)+
_xlfn.IFNA(VLOOKUP($C39,お客様データ添付!$U:$X,4,FALSE),0)+
_xlfn.IFNA(VLOOKUP($C39,お客様データ添付!$AB:$AE,4,FALSE),0)+
_xlfn.IFNA(VLOOKUP($C39,お客様データ添付!$AI:$AL,4,FALSE),0)</f>
        <v>0</v>
      </c>
    </row>
    <row r="40" spans="1:6">
      <c r="A40" s="1">
        <f>_xlfn.IFNA(_xlfn.IFNA(_xlfn.IFNA(_xlfn.IFNA(_xlfn.XLOOKUP(C40,お客様データ添付!G:G,お客様データ添付!E:E),_xlfn.XLOOKUP(C40,お客様データ添付!N:N,お客様データ添付!L:L)),_xlfn.XLOOKUP(C40,お客様データ添付!U:U,お客様データ添付!S:S)),_xlfn.XLOOKUP(C40,お客様データ添付!AB:AB,お客様データ添付!Z:Z)),_xlfn.XLOOKUP(C40,お客様データ添付!AI:AI,お客様データ添付!AG:AG))</f>
        <v>221</v>
      </c>
      <c r="B40" t="s">
        <v>2686</v>
      </c>
      <c r="C40" t="s">
        <v>1512</v>
      </c>
      <c r="D40" s="1">
        <f>IF(C40&lt;&gt;"",MATCH(C40,お客様データリスト!$A$2:$MV$2,0),"")</f>
        <v>84</v>
      </c>
      <c r="E40" s="1">
        <f t="shared" ca="1" si="0"/>
        <v>1</v>
      </c>
      <c r="F40" s="1">
        <f>_xlfn.IFNA(VLOOKUP($C40,お客様データ添付!$G:$J,4,FALSE),0)+
_xlfn.IFNA(VLOOKUP($C40,お客様データ添付!$N:$Q,4,FALSE),0)+
_xlfn.IFNA(VLOOKUP($C40,お客様データ添付!$U:$X,4,FALSE),0)+
_xlfn.IFNA(VLOOKUP($C40,お客様データ添付!$AB:$AE,4,FALSE),0)+
_xlfn.IFNA(VLOOKUP($C40,お客様データ添付!$AI:$AL,4,FALSE),0)</f>
        <v>0</v>
      </c>
    </row>
    <row r="41" spans="1:6">
      <c r="A41" s="1">
        <f>_xlfn.IFNA(_xlfn.IFNA(_xlfn.IFNA(_xlfn.IFNA(_xlfn.XLOOKUP(C41,お客様データ添付!G:G,お客様データ添付!E:E),_xlfn.XLOOKUP(C41,お客様データ添付!N:N,お客様データ添付!L:L)),_xlfn.XLOOKUP(C41,お客様データ添付!U:U,お客様データ添付!S:S)),_xlfn.XLOOKUP(C41,お客様データ添付!AB:AB,お客様データ添付!Z:Z)),_xlfn.XLOOKUP(C41,お客様データ添付!AI:AI,お客様データ添付!AG:AG))</f>
        <v>222</v>
      </c>
      <c r="B41" t="s">
        <v>2688</v>
      </c>
      <c r="C41" t="s">
        <v>1515</v>
      </c>
      <c r="D41" s="1">
        <f>IF(C41&lt;&gt;"",MATCH(C41,お客様データリスト!$A$2:$MV$2,0),"")</f>
        <v>86</v>
      </c>
      <c r="E41" s="1">
        <f t="shared" ca="1" si="0"/>
        <v>2</v>
      </c>
      <c r="F41" s="1">
        <f>_xlfn.IFNA(VLOOKUP($C41,お客様データ添付!$G:$J,4,FALSE),0)+
_xlfn.IFNA(VLOOKUP($C41,お客様データ添付!$N:$Q,4,FALSE),0)+
_xlfn.IFNA(VLOOKUP($C41,お客様データ添付!$U:$X,4,FALSE),0)+
_xlfn.IFNA(VLOOKUP($C41,お客様データ添付!$AB:$AE,4,FALSE),0)+
_xlfn.IFNA(VLOOKUP($C41,お客様データ添付!$AI:$AL,4,FALSE),0)</f>
        <v>0</v>
      </c>
    </row>
    <row r="42" spans="1:6">
      <c r="A42" s="1">
        <f>_xlfn.IFNA(_xlfn.IFNA(_xlfn.IFNA(_xlfn.IFNA(_xlfn.XLOOKUP(C42,お客様データ添付!G:G,お客様データ添付!E:E),_xlfn.XLOOKUP(C42,お客様データ添付!N:N,お客様データ添付!L:L)),_xlfn.XLOOKUP(C42,お客様データ添付!U:U,お客様データ添付!S:S)),_xlfn.XLOOKUP(C42,お客様データ添付!AB:AB,お客様データ添付!Z:Z)),_xlfn.XLOOKUP(C42,お客様データ添付!AI:AI,お客様データ添付!AG:AG))</f>
        <v>223</v>
      </c>
      <c r="B42" t="s">
        <v>2689</v>
      </c>
      <c r="C42" t="s">
        <v>1516</v>
      </c>
      <c r="D42" s="1">
        <f>IF(C42&lt;&gt;"",MATCH(C42,お客様データリスト!$A$2:$MV$2,0),"")</f>
        <v>88</v>
      </c>
      <c r="E42" s="1">
        <f t="shared" ca="1" si="0"/>
        <v>11</v>
      </c>
      <c r="F42" s="1">
        <f>_xlfn.IFNA(VLOOKUP($C42,お客様データ添付!$G:$J,4,FALSE),0)+
_xlfn.IFNA(VLOOKUP($C42,お客様データ添付!$N:$Q,4,FALSE),0)+
_xlfn.IFNA(VLOOKUP($C42,お客様データ添付!$U:$X,4,FALSE),0)+
_xlfn.IFNA(VLOOKUP($C42,お客様データ添付!$AB:$AE,4,FALSE),0)+
_xlfn.IFNA(VLOOKUP($C42,お客様データ添付!$AI:$AL,4,FALSE),0)</f>
        <v>0</v>
      </c>
    </row>
    <row r="43" spans="1:6">
      <c r="A43" s="1">
        <f>_xlfn.IFNA(_xlfn.IFNA(_xlfn.IFNA(_xlfn.IFNA(_xlfn.XLOOKUP(C43,お客様データ添付!G:G,お客様データ添付!E:E),_xlfn.XLOOKUP(C43,お客様データ添付!N:N,お客様データ添付!L:L)),_xlfn.XLOOKUP(C43,お客様データ添付!U:U,お客様データ添付!S:S)),_xlfn.XLOOKUP(C43,お客様データ添付!AB:AB,お客様データ添付!Z:Z)),_xlfn.XLOOKUP(C43,お客様データ添付!AI:AI,お客様データ添付!AG:AG))</f>
        <v>224</v>
      </c>
      <c r="B43" t="s">
        <v>2690</v>
      </c>
      <c r="C43" t="s">
        <v>1517</v>
      </c>
      <c r="D43" s="1">
        <f>IF(C43&lt;&gt;"",MATCH(C43,お客様データリスト!$A$2:$MV$2,0),"")</f>
        <v>90</v>
      </c>
      <c r="E43" s="1">
        <f t="shared" ca="1" si="0"/>
        <v>2</v>
      </c>
      <c r="F43" s="1">
        <f>_xlfn.IFNA(VLOOKUP($C43,お客様データ添付!$G:$J,4,FALSE),0)+
_xlfn.IFNA(VLOOKUP($C43,お客様データ添付!$N:$Q,4,FALSE),0)+
_xlfn.IFNA(VLOOKUP($C43,お客様データ添付!$U:$X,4,FALSE),0)+
_xlfn.IFNA(VLOOKUP($C43,お客様データ添付!$AB:$AE,4,FALSE),0)+
_xlfn.IFNA(VLOOKUP($C43,お客様データ添付!$AI:$AL,4,FALSE),0)</f>
        <v>0</v>
      </c>
    </row>
    <row r="44" spans="1:6">
      <c r="A44" s="1">
        <f>_xlfn.IFNA(_xlfn.IFNA(_xlfn.IFNA(_xlfn.IFNA(_xlfn.XLOOKUP(C44,お客様データ添付!G:G,お客様データ添付!E:E),_xlfn.XLOOKUP(C44,お客様データ添付!N:N,お客様データ添付!L:L)),_xlfn.XLOOKUP(C44,お客様データ添付!U:U,お客様データ添付!S:S)),_xlfn.XLOOKUP(C44,お客様データ添付!AB:AB,お客様データ添付!Z:Z)),_xlfn.XLOOKUP(C44,お客様データ添付!AI:AI,お客様データ添付!AG:AG))</f>
        <v>225</v>
      </c>
      <c r="B44" t="s">
        <v>2688</v>
      </c>
      <c r="C44" t="s">
        <v>1520</v>
      </c>
      <c r="D44" s="1">
        <f>IF(C44&lt;&gt;"",MATCH(C44,お客様データリスト!$A$2:$MV$2,0),"")</f>
        <v>92</v>
      </c>
      <c r="E44" s="1">
        <f t="shared" ca="1" si="0"/>
        <v>4</v>
      </c>
      <c r="F44" s="1">
        <f>_xlfn.IFNA(VLOOKUP($C44,お客様データ添付!$G:$J,4,FALSE),0)+
_xlfn.IFNA(VLOOKUP($C44,お客様データ添付!$N:$Q,4,FALSE),0)+
_xlfn.IFNA(VLOOKUP($C44,お客様データ添付!$U:$X,4,FALSE),0)+
_xlfn.IFNA(VLOOKUP($C44,お客様データ添付!$AB:$AE,4,FALSE),0)+
_xlfn.IFNA(VLOOKUP($C44,お客様データ添付!$AI:$AL,4,FALSE),0)</f>
        <v>0</v>
      </c>
    </row>
    <row r="45" spans="1:6">
      <c r="A45" s="1">
        <f>_xlfn.IFNA(_xlfn.IFNA(_xlfn.IFNA(_xlfn.IFNA(_xlfn.XLOOKUP(C45,お客様データ添付!G:G,お客様データ添付!E:E),_xlfn.XLOOKUP(C45,お客様データ添付!N:N,お客様データ添付!L:L)),_xlfn.XLOOKUP(C45,お客様データ添付!U:U,お客様データ添付!S:S)),_xlfn.XLOOKUP(C45,お客様データ添付!AB:AB,お客様データ添付!Z:Z)),_xlfn.XLOOKUP(C45,お客様データ添付!AI:AI,お客様データ添付!AG:AG))</f>
        <v>226</v>
      </c>
      <c r="B45" t="s">
        <v>2692</v>
      </c>
      <c r="C45" t="s">
        <v>1521</v>
      </c>
      <c r="D45" s="1">
        <f>IF(C45&lt;&gt;"",MATCH(C45,お客様データリスト!$A$2:$MV$2,0),"")</f>
        <v>94</v>
      </c>
      <c r="E45" s="1">
        <f t="shared" ca="1" si="0"/>
        <v>6</v>
      </c>
      <c r="F45" s="1">
        <f>_xlfn.IFNA(VLOOKUP($C45,お客様データ添付!$G:$J,4,FALSE),0)+
_xlfn.IFNA(VLOOKUP($C45,お客様データ添付!$N:$Q,4,FALSE),0)+
_xlfn.IFNA(VLOOKUP($C45,お客様データ添付!$U:$X,4,FALSE),0)+
_xlfn.IFNA(VLOOKUP($C45,お客様データ添付!$AB:$AE,4,FALSE),0)+
_xlfn.IFNA(VLOOKUP($C45,お客様データ添付!$AI:$AL,4,FALSE),0)</f>
        <v>0</v>
      </c>
    </row>
    <row r="46" spans="1:6">
      <c r="A46" s="1">
        <f>_xlfn.IFNA(_xlfn.IFNA(_xlfn.IFNA(_xlfn.IFNA(_xlfn.XLOOKUP(C46,お客様データ添付!G:G,お客様データ添付!E:E),_xlfn.XLOOKUP(C46,お客様データ添付!N:N,お客様データ添付!L:L)),_xlfn.XLOOKUP(C46,お客様データ添付!U:U,お客様データ添付!S:S)),_xlfn.XLOOKUP(C46,お客様データ添付!AB:AB,お客様データ添付!Z:Z)),_xlfn.XLOOKUP(C46,お客様データ添付!AI:AI,お客様データ添付!AG:AG))</f>
        <v>227</v>
      </c>
      <c r="B46" t="s">
        <v>2690</v>
      </c>
      <c r="C46" t="s">
        <v>1522</v>
      </c>
      <c r="D46" s="1">
        <f>IF(C46&lt;&gt;"",MATCH(C46,お客様データリスト!$A$2:$MV$2,0),"")</f>
        <v>96</v>
      </c>
      <c r="E46" s="1">
        <f t="shared" ca="1" si="0"/>
        <v>1</v>
      </c>
      <c r="F46" s="1">
        <f>_xlfn.IFNA(VLOOKUP($C46,お客様データ添付!$G:$J,4,FALSE),0)+
_xlfn.IFNA(VLOOKUP($C46,お客様データ添付!$N:$Q,4,FALSE),0)+
_xlfn.IFNA(VLOOKUP($C46,お客様データ添付!$U:$X,4,FALSE),0)+
_xlfn.IFNA(VLOOKUP($C46,お客様データ添付!$AB:$AE,4,FALSE),0)+
_xlfn.IFNA(VLOOKUP($C46,お客様データ添付!$AI:$AL,4,FALSE),0)</f>
        <v>0</v>
      </c>
    </row>
    <row r="47" spans="1:6">
      <c r="A47" s="1">
        <f>_xlfn.IFNA(_xlfn.IFNA(_xlfn.IFNA(_xlfn.IFNA(_xlfn.XLOOKUP(C47,お客様データ添付!G:G,お客様データ添付!E:E),_xlfn.XLOOKUP(C47,お客様データ添付!N:N,お客様データ添付!L:L)),_xlfn.XLOOKUP(C47,お客様データ添付!U:U,お客様データ添付!S:S)),_xlfn.XLOOKUP(C47,お客様データ添付!AB:AB,お客様データ添付!Z:Z)),_xlfn.XLOOKUP(C47,お客様データ添付!AI:AI,お客様データ添付!AG:AG))</f>
        <v>228</v>
      </c>
      <c r="B47" t="s">
        <v>2693</v>
      </c>
      <c r="C47" t="s">
        <v>1523</v>
      </c>
      <c r="D47" s="1">
        <f>IF(C47&lt;&gt;"",MATCH(C47,お客様データリスト!$A$2:$MV$2,0),"")</f>
        <v>98</v>
      </c>
      <c r="E47" s="1">
        <f t="shared" ca="1" si="0"/>
        <v>2</v>
      </c>
      <c r="F47" s="1">
        <f>_xlfn.IFNA(VLOOKUP($C47,お客様データ添付!$G:$J,4,FALSE),0)+
_xlfn.IFNA(VLOOKUP($C47,お客様データ添付!$N:$Q,4,FALSE),0)+
_xlfn.IFNA(VLOOKUP($C47,お客様データ添付!$U:$X,4,FALSE),0)+
_xlfn.IFNA(VLOOKUP($C47,お客様データ添付!$AB:$AE,4,FALSE),0)+
_xlfn.IFNA(VLOOKUP($C47,お客様データ添付!$AI:$AL,4,FALSE),0)</f>
        <v>0</v>
      </c>
    </row>
    <row r="48" spans="1:6">
      <c r="A48" s="1">
        <f>_xlfn.IFNA(_xlfn.IFNA(_xlfn.IFNA(_xlfn.IFNA(_xlfn.XLOOKUP(C48,お客様データ添付!G:G,お客様データ添付!E:E),_xlfn.XLOOKUP(C48,お客様データ添付!N:N,お客様データ添付!L:L)),_xlfn.XLOOKUP(C48,お客様データ添付!U:U,お客様データ添付!S:S)),_xlfn.XLOOKUP(C48,お客様データ添付!AB:AB,お客様データ添付!Z:Z)),_xlfn.XLOOKUP(C48,お客様データ添付!AI:AI,お客様データ添付!AG:AG))</f>
        <v>229</v>
      </c>
      <c r="B48" t="s">
        <v>2696</v>
      </c>
      <c r="C48" t="s">
        <v>1527</v>
      </c>
      <c r="D48" s="1">
        <f>IF(C48&lt;&gt;"",MATCH(C48,お客様データリスト!$A$2:$MV$2,0),"")</f>
        <v>100</v>
      </c>
      <c r="E48" s="1">
        <f t="shared" ca="1" si="0"/>
        <v>0</v>
      </c>
      <c r="F48" s="1">
        <f>_xlfn.IFNA(VLOOKUP($C48,お客様データ添付!$G:$J,4,FALSE),0)+
_xlfn.IFNA(VLOOKUP($C48,お客様データ添付!$N:$Q,4,FALSE),0)+
_xlfn.IFNA(VLOOKUP($C48,お客様データ添付!$U:$X,4,FALSE),0)+
_xlfn.IFNA(VLOOKUP($C48,お客様データ添付!$AB:$AE,4,FALSE),0)+
_xlfn.IFNA(VLOOKUP($C48,お客様データ添付!$AI:$AL,4,FALSE),0)</f>
        <v>0</v>
      </c>
    </row>
    <row r="49" spans="1:6">
      <c r="A49" s="1">
        <f>_xlfn.IFNA(_xlfn.IFNA(_xlfn.IFNA(_xlfn.IFNA(_xlfn.XLOOKUP(C49,お客様データ添付!G:G,お客様データ添付!E:E),_xlfn.XLOOKUP(C49,お客様データ添付!N:N,お客様データ添付!L:L)),_xlfn.XLOOKUP(C49,お客様データ添付!U:U,お客様データ添付!S:S)),_xlfn.XLOOKUP(C49,お客様データ添付!AB:AB,お客様データ添付!Z:Z)),_xlfn.XLOOKUP(C49,お客様データ添付!AI:AI,お客様データ添付!AG:AG))</f>
        <v>230</v>
      </c>
      <c r="B49" t="s">
        <v>2697</v>
      </c>
      <c r="C49" t="s">
        <v>1528</v>
      </c>
      <c r="D49" s="1">
        <f>IF(C49&lt;&gt;"",MATCH(C49,お客様データリスト!$A$2:$MV$2,0),"")</f>
        <v>102</v>
      </c>
      <c r="E49" s="1">
        <f t="shared" ca="1" si="0"/>
        <v>0</v>
      </c>
      <c r="F49" s="1">
        <f>_xlfn.IFNA(VLOOKUP($C49,お客様データ添付!$G:$J,4,FALSE),0)+
_xlfn.IFNA(VLOOKUP($C49,お客様データ添付!$N:$Q,4,FALSE),0)+
_xlfn.IFNA(VLOOKUP($C49,お客様データ添付!$U:$X,4,FALSE),0)+
_xlfn.IFNA(VLOOKUP($C49,お客様データ添付!$AB:$AE,4,FALSE),0)+
_xlfn.IFNA(VLOOKUP($C49,お客様データ添付!$AI:$AL,4,FALSE),0)</f>
        <v>0</v>
      </c>
    </row>
    <row r="50" spans="1:6">
      <c r="A50" s="1">
        <f>_xlfn.IFNA(_xlfn.IFNA(_xlfn.IFNA(_xlfn.IFNA(_xlfn.XLOOKUP(C50,お客様データ添付!G:G,お客様データ添付!E:E),_xlfn.XLOOKUP(C50,お客様データ添付!N:N,お客様データ添付!L:L)),_xlfn.XLOOKUP(C50,お客様データ添付!U:U,お客様データ添付!S:S)),_xlfn.XLOOKUP(C50,お客様データ添付!AB:AB,お客様データ添付!Z:Z)),_xlfn.XLOOKUP(C50,お客様データ添付!AI:AI,お客様データ添付!AG:AG))</f>
        <v>231</v>
      </c>
      <c r="B50" t="s">
        <v>2698</v>
      </c>
      <c r="C50" t="s">
        <v>1529</v>
      </c>
      <c r="D50" s="1">
        <f>IF(C50&lt;&gt;"",MATCH(C50,お客様データリスト!$A$2:$MV$2,0),"")</f>
        <v>104</v>
      </c>
      <c r="E50" s="1">
        <f t="shared" ca="1" si="0"/>
        <v>0</v>
      </c>
      <c r="F50" s="1">
        <f>_xlfn.IFNA(VLOOKUP($C50,お客様データ添付!$G:$J,4,FALSE),0)+
_xlfn.IFNA(VLOOKUP($C50,お客様データ添付!$N:$Q,4,FALSE),0)+
_xlfn.IFNA(VLOOKUP($C50,お客様データ添付!$U:$X,4,FALSE),0)+
_xlfn.IFNA(VLOOKUP($C50,お客様データ添付!$AB:$AE,4,FALSE),0)+
_xlfn.IFNA(VLOOKUP($C50,お客様データ添付!$AI:$AL,4,FALSE),0)</f>
        <v>0</v>
      </c>
    </row>
    <row r="51" spans="1:6">
      <c r="A51" s="1">
        <f>_xlfn.IFNA(_xlfn.IFNA(_xlfn.IFNA(_xlfn.IFNA(_xlfn.XLOOKUP(C51,お客様データ添付!G:G,お客様データ添付!E:E),_xlfn.XLOOKUP(C51,お客様データ添付!N:N,お客様データ添付!L:L)),_xlfn.XLOOKUP(C51,お客様データ添付!U:U,お客様データ添付!S:S)),_xlfn.XLOOKUP(C51,お客様データ添付!AB:AB,お客様データ添付!Z:Z)),_xlfn.XLOOKUP(C51,お客様データ添付!AI:AI,お客様データ添付!AG:AG))</f>
        <v>232</v>
      </c>
      <c r="B51" t="s">
        <v>2699</v>
      </c>
      <c r="C51" t="s">
        <v>1530</v>
      </c>
      <c r="D51" s="1">
        <f>IF(C51&lt;&gt;"",MATCH(C51,お客様データリスト!$A$2:$MV$2,0),"")</f>
        <v>106</v>
      </c>
      <c r="E51" s="1">
        <f t="shared" ca="1" si="0"/>
        <v>0</v>
      </c>
      <c r="F51" s="1">
        <f>_xlfn.IFNA(VLOOKUP($C51,お客様データ添付!$G:$J,4,FALSE),0)+
_xlfn.IFNA(VLOOKUP($C51,お客様データ添付!$N:$Q,4,FALSE),0)+
_xlfn.IFNA(VLOOKUP($C51,お客様データ添付!$U:$X,4,FALSE),0)+
_xlfn.IFNA(VLOOKUP($C51,お客様データ添付!$AB:$AE,4,FALSE),0)+
_xlfn.IFNA(VLOOKUP($C51,お客様データ添付!$AI:$AL,4,FALSE),0)</f>
        <v>0</v>
      </c>
    </row>
    <row r="52" spans="1:6">
      <c r="A52" s="1">
        <f>_xlfn.IFNA(_xlfn.IFNA(_xlfn.IFNA(_xlfn.IFNA(_xlfn.XLOOKUP(C52,お客様データ添付!G:G,お客様データ添付!E:E),_xlfn.XLOOKUP(C52,お客様データ添付!N:N,お客様データ添付!L:L)),_xlfn.XLOOKUP(C52,お客様データ添付!U:U,お客様データ添付!S:S)),_xlfn.XLOOKUP(C52,お客様データ添付!AB:AB,お客様データ添付!Z:Z)),_xlfn.XLOOKUP(C52,お客様データ添付!AI:AI,お客様データ添付!AG:AG))</f>
        <v>233</v>
      </c>
      <c r="B52" t="s">
        <v>2661</v>
      </c>
      <c r="C52" t="s">
        <v>1533</v>
      </c>
      <c r="D52" s="1">
        <f>IF(C52&lt;&gt;"",MATCH(C52,お客様データリスト!$A$2:$MV$2,0),"")</f>
        <v>108</v>
      </c>
      <c r="E52" s="1">
        <f t="shared" ca="1" si="0"/>
        <v>0</v>
      </c>
      <c r="F52" s="1">
        <f>_xlfn.IFNA(VLOOKUP($C52,お客様データ添付!$G:$J,4,FALSE),0)+
_xlfn.IFNA(VLOOKUP($C52,お客様データ添付!$N:$Q,4,FALSE),0)+
_xlfn.IFNA(VLOOKUP($C52,お客様データ添付!$U:$X,4,FALSE),0)+
_xlfn.IFNA(VLOOKUP($C52,お客様データ添付!$AB:$AE,4,FALSE),0)+
_xlfn.IFNA(VLOOKUP($C52,お客様データ添付!$AI:$AL,4,FALSE),0)</f>
        <v>0</v>
      </c>
    </row>
    <row r="53" spans="1:6">
      <c r="A53" s="1">
        <f>_xlfn.IFNA(_xlfn.IFNA(_xlfn.IFNA(_xlfn.IFNA(_xlfn.XLOOKUP(C53,お客様データ添付!G:G,お客様データ添付!E:E),_xlfn.XLOOKUP(C53,お客様データ添付!N:N,お客様データ添付!L:L)),_xlfn.XLOOKUP(C53,お客様データ添付!U:U,お客様データ添付!S:S)),_xlfn.XLOOKUP(C53,お客様データ添付!AB:AB,お客様データ添付!Z:Z)),_xlfn.XLOOKUP(C53,お客様データ添付!AI:AI,お客様データ添付!AG:AG))</f>
        <v>234</v>
      </c>
      <c r="B53" t="s">
        <v>2640</v>
      </c>
      <c r="C53" t="s">
        <v>1534</v>
      </c>
      <c r="D53" s="1">
        <f>IF(C53&lt;&gt;"",MATCH(C53,お客様データリスト!$A$2:$MV$2,0),"")</f>
        <v>110</v>
      </c>
      <c r="E53" s="1">
        <f t="shared" ca="1" si="0"/>
        <v>0</v>
      </c>
      <c r="F53" s="1">
        <f>_xlfn.IFNA(VLOOKUP($C53,お客様データ添付!$G:$J,4,FALSE),0)+
_xlfn.IFNA(VLOOKUP($C53,お客様データ添付!$N:$Q,4,FALSE),0)+
_xlfn.IFNA(VLOOKUP($C53,お客様データ添付!$U:$X,4,FALSE),0)+
_xlfn.IFNA(VLOOKUP($C53,お客様データ添付!$AB:$AE,4,FALSE),0)+
_xlfn.IFNA(VLOOKUP($C53,お客様データ添付!$AI:$AL,4,FALSE),0)</f>
        <v>0</v>
      </c>
    </row>
    <row r="54" spans="1:6">
      <c r="A54" s="1">
        <f>_xlfn.IFNA(_xlfn.IFNA(_xlfn.IFNA(_xlfn.IFNA(_xlfn.XLOOKUP(C54,お客様データ添付!G:G,お客様データ添付!E:E),_xlfn.XLOOKUP(C54,お客様データ添付!N:N,お客様データ添付!L:L)),_xlfn.XLOOKUP(C54,お客様データ添付!U:U,お客様データ添付!S:S)),_xlfn.XLOOKUP(C54,お客様データ添付!AB:AB,お客様データ添付!Z:Z)),_xlfn.XLOOKUP(C54,お客様データ添付!AI:AI,お客様データ添付!AG:AG))</f>
        <v>235</v>
      </c>
      <c r="B54" t="s">
        <v>2701</v>
      </c>
      <c r="C54" t="s">
        <v>1535</v>
      </c>
      <c r="D54" s="1">
        <f>IF(C54&lt;&gt;"",MATCH(C54,お客様データリスト!$A$2:$MV$2,0),"")</f>
        <v>112</v>
      </c>
      <c r="E54" s="1">
        <f t="shared" ca="1" si="0"/>
        <v>0</v>
      </c>
      <c r="F54" s="1">
        <f>_xlfn.IFNA(VLOOKUP($C54,お客様データ添付!$G:$J,4,FALSE),0)+
_xlfn.IFNA(VLOOKUP($C54,お客様データ添付!$N:$Q,4,FALSE),0)+
_xlfn.IFNA(VLOOKUP($C54,お客様データ添付!$U:$X,4,FALSE),0)+
_xlfn.IFNA(VLOOKUP($C54,お客様データ添付!$AB:$AE,4,FALSE),0)+
_xlfn.IFNA(VLOOKUP($C54,お客様データ添付!$AI:$AL,4,FALSE),0)</f>
        <v>0</v>
      </c>
    </row>
    <row r="55" spans="1:6">
      <c r="A55" s="1">
        <f>_xlfn.IFNA(_xlfn.IFNA(_xlfn.IFNA(_xlfn.IFNA(_xlfn.XLOOKUP(C55,お客様データ添付!G:G,お客様データ添付!E:E),_xlfn.XLOOKUP(C55,お客様データ添付!N:N,お客様データ添付!L:L)),_xlfn.XLOOKUP(C55,お客様データ添付!U:U,お客様データ添付!S:S)),_xlfn.XLOOKUP(C55,お客様データ添付!AB:AB,お客様データ添付!Z:Z)),_xlfn.XLOOKUP(C55,お客様データ添付!AI:AI,お客様データ添付!AG:AG))</f>
        <v>236</v>
      </c>
      <c r="B55" t="s">
        <v>2702</v>
      </c>
      <c r="C55" t="s">
        <v>1536</v>
      </c>
      <c r="D55" s="1">
        <f>IF(C55&lt;&gt;"",MATCH(C55,お客様データリスト!$A$2:$MV$2,0),"")</f>
        <v>114</v>
      </c>
      <c r="E55" s="1">
        <f t="shared" ca="1" si="0"/>
        <v>0</v>
      </c>
      <c r="F55" s="1">
        <f>_xlfn.IFNA(VLOOKUP($C55,お客様データ添付!$G:$J,4,FALSE),0)+
_xlfn.IFNA(VLOOKUP($C55,お客様データ添付!$N:$Q,4,FALSE),0)+
_xlfn.IFNA(VLOOKUP($C55,お客様データ添付!$U:$X,4,FALSE),0)+
_xlfn.IFNA(VLOOKUP($C55,お客様データ添付!$AB:$AE,4,FALSE),0)+
_xlfn.IFNA(VLOOKUP($C55,お客様データ添付!$AI:$AL,4,FALSE),0)</f>
        <v>0</v>
      </c>
    </row>
    <row r="56" spans="1:6">
      <c r="A56" s="1">
        <f>_xlfn.IFNA(_xlfn.IFNA(_xlfn.IFNA(_xlfn.IFNA(_xlfn.XLOOKUP(C56,お客様データ添付!G:G,お客様データ添付!E:E),_xlfn.XLOOKUP(C56,お客様データ添付!N:N,お客様データ添付!L:L)),_xlfn.XLOOKUP(C56,お客様データ添付!U:U,お客様データ添付!S:S)),_xlfn.XLOOKUP(C56,お客様データ添付!AB:AB,お客様データ添付!Z:Z)),_xlfn.XLOOKUP(C56,お客様データ添付!AI:AI,お客様データ添付!AG:AG))</f>
        <v>237</v>
      </c>
      <c r="B56" t="s">
        <v>2703</v>
      </c>
      <c r="C56" t="s">
        <v>1537</v>
      </c>
      <c r="D56" s="1">
        <f>IF(C56&lt;&gt;"",MATCH(C56,お客様データリスト!$A$2:$MV$2,0),"")</f>
        <v>116</v>
      </c>
      <c r="E56" s="1">
        <f t="shared" ca="1" si="0"/>
        <v>0</v>
      </c>
      <c r="F56" s="1">
        <f>_xlfn.IFNA(VLOOKUP($C56,お客様データ添付!$G:$J,4,FALSE),0)+
_xlfn.IFNA(VLOOKUP($C56,お客様データ添付!$N:$Q,4,FALSE),0)+
_xlfn.IFNA(VLOOKUP($C56,お客様データ添付!$U:$X,4,FALSE),0)+
_xlfn.IFNA(VLOOKUP($C56,お客様データ添付!$AB:$AE,4,FALSE),0)+
_xlfn.IFNA(VLOOKUP($C56,お客様データ添付!$AI:$AL,4,FALSE),0)</f>
        <v>0</v>
      </c>
    </row>
    <row r="57" spans="1:6">
      <c r="A57" s="1">
        <f>_xlfn.IFNA(_xlfn.IFNA(_xlfn.IFNA(_xlfn.IFNA(_xlfn.XLOOKUP(C57,お客様データ添付!G:G,お客様データ添付!E:E),_xlfn.XLOOKUP(C57,お客様データ添付!N:N,お客様データ添付!L:L)),_xlfn.XLOOKUP(C57,お客様データ添付!U:U,お客様データ添付!S:S)),_xlfn.XLOOKUP(C57,お客様データ添付!AB:AB,お客様データ添付!Z:Z)),_xlfn.XLOOKUP(C57,お客様データ添付!AI:AI,お客様データ添付!AG:AG))</f>
        <v>238</v>
      </c>
      <c r="B57" t="s">
        <v>2704</v>
      </c>
      <c r="C57" t="s">
        <v>1538</v>
      </c>
      <c r="D57" s="1">
        <f>IF(C57&lt;&gt;"",MATCH(C57,お客様データリスト!$A$2:$MV$2,0),"")</f>
        <v>118</v>
      </c>
      <c r="E57" s="1">
        <f t="shared" ca="1" si="0"/>
        <v>0</v>
      </c>
      <c r="F57" s="1">
        <f>_xlfn.IFNA(VLOOKUP($C57,お客様データ添付!$G:$J,4,FALSE),0)+
_xlfn.IFNA(VLOOKUP($C57,お客様データ添付!$N:$Q,4,FALSE),0)+
_xlfn.IFNA(VLOOKUP($C57,お客様データ添付!$U:$X,4,FALSE),0)+
_xlfn.IFNA(VLOOKUP($C57,お客様データ添付!$AB:$AE,4,FALSE),0)+
_xlfn.IFNA(VLOOKUP($C57,お客様データ添付!$AI:$AL,4,FALSE),0)</f>
        <v>0</v>
      </c>
    </row>
    <row r="58" spans="1:6">
      <c r="A58" s="1">
        <f>_xlfn.IFNA(_xlfn.IFNA(_xlfn.IFNA(_xlfn.IFNA(_xlfn.XLOOKUP(C58,お客様データ添付!G:G,お客様データ添付!E:E),_xlfn.XLOOKUP(C58,お客様データ添付!N:N,お客様データ添付!L:L)),_xlfn.XLOOKUP(C58,お客様データ添付!U:U,お客様データ添付!S:S)),_xlfn.XLOOKUP(C58,お客様データ添付!AB:AB,お客様データ添付!Z:Z)),_xlfn.XLOOKUP(C58,お客様データ添付!AI:AI,お客様データ添付!AG:AG))</f>
        <v>239</v>
      </c>
      <c r="B58" t="s">
        <v>2705</v>
      </c>
      <c r="C58" t="s">
        <v>1539</v>
      </c>
      <c r="D58" s="1">
        <f>IF(C58&lt;&gt;"",MATCH(C58,お客様データリスト!$A$2:$MV$2,0),"")</f>
        <v>120</v>
      </c>
      <c r="E58" s="1">
        <f t="shared" ca="1" si="0"/>
        <v>0</v>
      </c>
      <c r="F58" s="1">
        <f>_xlfn.IFNA(VLOOKUP($C58,お客様データ添付!$G:$J,4,FALSE),0)+
_xlfn.IFNA(VLOOKUP($C58,お客様データ添付!$N:$Q,4,FALSE),0)+
_xlfn.IFNA(VLOOKUP($C58,お客様データ添付!$U:$X,4,FALSE),0)+
_xlfn.IFNA(VLOOKUP($C58,お客様データ添付!$AB:$AE,4,FALSE),0)+
_xlfn.IFNA(VLOOKUP($C58,お客様データ添付!$AI:$AL,4,FALSE),0)</f>
        <v>0</v>
      </c>
    </row>
    <row r="59" spans="1:6">
      <c r="A59" s="1">
        <f>_xlfn.IFNA(_xlfn.IFNA(_xlfn.IFNA(_xlfn.IFNA(_xlfn.XLOOKUP(C59,お客様データ添付!G:G,お客様データ添付!E:E),_xlfn.XLOOKUP(C59,お客様データ添付!N:N,お客様データ添付!L:L)),_xlfn.XLOOKUP(C59,お客様データ添付!U:U,お客様データ添付!S:S)),_xlfn.XLOOKUP(C59,お客様データ添付!AB:AB,お客様データ添付!Z:Z)),_xlfn.XLOOKUP(C59,お客様データ添付!AI:AI,お客様データ添付!AG:AG))</f>
        <v>240</v>
      </c>
      <c r="B59" t="s">
        <v>2690</v>
      </c>
      <c r="C59" t="s">
        <v>1540</v>
      </c>
      <c r="D59" s="1">
        <f>IF(C59&lt;&gt;"",MATCH(C59,お客様データリスト!$A$2:$MV$2,0),"")</f>
        <v>122</v>
      </c>
      <c r="E59" s="1">
        <f t="shared" ca="1" si="0"/>
        <v>0</v>
      </c>
      <c r="F59" s="1">
        <f>_xlfn.IFNA(VLOOKUP($C59,お客様データ添付!$G:$J,4,FALSE),0)+
_xlfn.IFNA(VLOOKUP($C59,お客様データ添付!$N:$Q,4,FALSE),0)+
_xlfn.IFNA(VLOOKUP($C59,お客様データ添付!$U:$X,4,FALSE),0)+
_xlfn.IFNA(VLOOKUP($C59,お客様データ添付!$AB:$AE,4,FALSE),0)+
_xlfn.IFNA(VLOOKUP($C59,お客様データ添付!$AI:$AL,4,FALSE),0)</f>
        <v>0</v>
      </c>
    </row>
    <row r="60" spans="1:6">
      <c r="A60" s="1">
        <f>_xlfn.IFNA(_xlfn.IFNA(_xlfn.IFNA(_xlfn.IFNA(_xlfn.XLOOKUP(C60,お客様データ添付!G:G,お客様データ添付!E:E),_xlfn.XLOOKUP(C60,お客様データ添付!N:N,お客様データ添付!L:L)),_xlfn.XLOOKUP(C60,お客様データ添付!U:U,お客様データ添付!S:S)),_xlfn.XLOOKUP(C60,お客様データ添付!AB:AB,お客様データ添付!Z:Z)),_xlfn.XLOOKUP(C60,お客様データ添付!AI:AI,お客様データ添付!AG:AG))</f>
        <v>301</v>
      </c>
      <c r="B60" t="s">
        <v>1674</v>
      </c>
      <c r="C60" t="s">
        <v>1543</v>
      </c>
      <c r="D60" s="1">
        <f>IF(C60&lt;&gt;"",MATCH(C60,お客様データリスト!$A$2:$MV$2,0),"")</f>
        <v>124</v>
      </c>
      <c r="E60" s="1">
        <f t="shared" ca="1" si="0"/>
        <v>1</v>
      </c>
      <c r="F60" s="1">
        <f>_xlfn.IFNA(VLOOKUP($C60,お客様データ添付!$G:$J,4,FALSE),0)+
_xlfn.IFNA(VLOOKUP($C60,お客様データ添付!$N:$Q,4,FALSE),0)+
_xlfn.IFNA(VLOOKUP($C60,お客様データ添付!$U:$X,4,FALSE),0)+
_xlfn.IFNA(VLOOKUP($C60,お客様データ添付!$AB:$AE,4,FALSE),0)+
_xlfn.IFNA(VLOOKUP($C60,お客様データ添付!$AI:$AL,4,FALSE),0)</f>
        <v>0</v>
      </c>
    </row>
    <row r="61" spans="1:6">
      <c r="A61" s="1">
        <f>_xlfn.IFNA(_xlfn.IFNA(_xlfn.IFNA(_xlfn.IFNA(_xlfn.XLOOKUP(C61,お客様データ添付!G:G,お客様データ添付!E:E),_xlfn.XLOOKUP(C61,お客様データ添付!N:N,お客様データ添付!L:L)),_xlfn.XLOOKUP(C61,お客様データ添付!U:U,お客様データ添付!S:S)),_xlfn.XLOOKUP(C61,お客様データ添付!AB:AB,お客様データ添付!Z:Z)),_xlfn.XLOOKUP(C61,お客様データ添付!AI:AI,お客様データ添付!AG:AG))</f>
        <v>302</v>
      </c>
      <c r="B61" t="s">
        <v>1675</v>
      </c>
      <c r="C61" t="s">
        <v>1544</v>
      </c>
      <c r="D61" s="1">
        <f>IF(C61&lt;&gt;"",MATCH(C61,お客様データリスト!$A$2:$MV$2,0),"")</f>
        <v>126</v>
      </c>
      <c r="E61" s="1">
        <f t="shared" ca="1" si="0"/>
        <v>0</v>
      </c>
      <c r="F61" s="1">
        <f>_xlfn.IFNA(VLOOKUP($C61,お客様データ添付!$G:$J,4,FALSE),0)+
_xlfn.IFNA(VLOOKUP($C61,お客様データ添付!$N:$Q,4,FALSE),0)+
_xlfn.IFNA(VLOOKUP($C61,お客様データ添付!$U:$X,4,FALSE),0)+
_xlfn.IFNA(VLOOKUP($C61,お客様データ添付!$AB:$AE,4,FALSE),0)+
_xlfn.IFNA(VLOOKUP($C61,お客様データ添付!$AI:$AL,4,FALSE),0)</f>
        <v>0</v>
      </c>
    </row>
    <row r="62" spans="1:6">
      <c r="A62" s="1">
        <f>_xlfn.IFNA(_xlfn.IFNA(_xlfn.IFNA(_xlfn.IFNA(_xlfn.XLOOKUP(C62,お客様データ添付!G:G,お客様データ添付!E:E),_xlfn.XLOOKUP(C62,お客様データ添付!N:N,お客様データ添付!L:L)),_xlfn.XLOOKUP(C62,お客様データ添付!U:U,お客様データ添付!S:S)),_xlfn.XLOOKUP(C62,お客様データ添付!AB:AB,お客様データ添付!Z:Z)),_xlfn.XLOOKUP(C62,お客様データ添付!AI:AI,お客様データ添付!AG:AG))</f>
        <v>303</v>
      </c>
      <c r="B62" t="s">
        <v>1676</v>
      </c>
      <c r="C62" t="s">
        <v>1546</v>
      </c>
      <c r="D62" s="1">
        <f>IF(C62&lt;&gt;"",MATCH(C62,お客様データリスト!$A$2:$MV$2,0),"")</f>
        <v>128</v>
      </c>
      <c r="E62" s="1">
        <f t="shared" ca="1" si="0"/>
        <v>5</v>
      </c>
      <c r="F62" s="1">
        <f>_xlfn.IFNA(VLOOKUP($C62,お客様データ添付!$G:$J,4,FALSE),0)+
_xlfn.IFNA(VLOOKUP($C62,お客様データ添付!$N:$Q,4,FALSE),0)+
_xlfn.IFNA(VLOOKUP($C62,お客様データ添付!$U:$X,4,FALSE),0)+
_xlfn.IFNA(VLOOKUP($C62,お客様データ添付!$AB:$AE,4,FALSE),0)+
_xlfn.IFNA(VLOOKUP($C62,お客様データ添付!$AI:$AL,4,FALSE),0)</f>
        <v>0</v>
      </c>
    </row>
    <row r="63" spans="1:6">
      <c r="A63" s="1">
        <f>_xlfn.IFNA(_xlfn.IFNA(_xlfn.IFNA(_xlfn.IFNA(_xlfn.XLOOKUP(C63,お客様データ添付!G:G,お客様データ添付!E:E),_xlfn.XLOOKUP(C63,お客様データ添付!N:N,お客様データ添付!L:L)),_xlfn.XLOOKUP(C63,お客様データ添付!U:U,お客様データ添付!S:S)),_xlfn.XLOOKUP(C63,お客様データ添付!AB:AB,お客様データ添付!Z:Z)),_xlfn.XLOOKUP(C63,お客様データ添付!AI:AI,お客様データ添付!AG:AG))</f>
        <v>304</v>
      </c>
      <c r="B63" t="s">
        <v>1677</v>
      </c>
      <c r="C63" t="s">
        <v>1547</v>
      </c>
      <c r="D63" s="1">
        <f>IF(C63&lt;&gt;"",MATCH(C63,お客様データリスト!$A$2:$MV$2,0),"")</f>
        <v>130</v>
      </c>
      <c r="E63" s="1">
        <f t="shared" ca="1" si="0"/>
        <v>0</v>
      </c>
      <c r="F63" s="1">
        <f>_xlfn.IFNA(VLOOKUP($C63,お客様データ添付!$G:$J,4,FALSE),0)+
_xlfn.IFNA(VLOOKUP($C63,お客様データ添付!$N:$Q,4,FALSE),0)+
_xlfn.IFNA(VLOOKUP($C63,お客様データ添付!$U:$X,4,FALSE),0)+
_xlfn.IFNA(VLOOKUP($C63,お客様データ添付!$AB:$AE,4,FALSE),0)+
_xlfn.IFNA(VLOOKUP($C63,お客様データ添付!$AI:$AL,4,FALSE),0)</f>
        <v>0</v>
      </c>
    </row>
    <row r="64" spans="1:6">
      <c r="A64" s="1">
        <f>_xlfn.IFNA(_xlfn.IFNA(_xlfn.IFNA(_xlfn.IFNA(_xlfn.XLOOKUP(C64,お客様データ添付!G:G,お客様データ添付!E:E),_xlfn.XLOOKUP(C64,お客様データ添付!N:N,お客様データ添付!L:L)),_xlfn.XLOOKUP(C64,お客様データ添付!U:U,お客様データ添付!S:S)),_xlfn.XLOOKUP(C64,お客様データ添付!AB:AB,お客様データ添付!Z:Z)),_xlfn.XLOOKUP(C64,お客様データ添付!AI:AI,お客様データ添付!AG:AG))</f>
        <v>305</v>
      </c>
      <c r="B64" t="s">
        <v>747</v>
      </c>
      <c r="C64" t="s">
        <v>1548</v>
      </c>
      <c r="D64" s="1">
        <f>IF(C64&lt;&gt;"",MATCH(C64,お客様データリスト!$A$2:$MV$2,0),"")</f>
        <v>132</v>
      </c>
      <c r="E64" s="1">
        <f t="shared" ca="1" si="0"/>
        <v>5</v>
      </c>
      <c r="F64" s="1">
        <f>_xlfn.IFNA(VLOOKUP($C64,お客様データ添付!$G:$J,4,FALSE),0)+
_xlfn.IFNA(VLOOKUP($C64,お客様データ添付!$N:$Q,4,FALSE),0)+
_xlfn.IFNA(VLOOKUP($C64,お客様データ添付!$U:$X,4,FALSE),0)+
_xlfn.IFNA(VLOOKUP($C64,お客様データ添付!$AB:$AE,4,FALSE),0)+
_xlfn.IFNA(VLOOKUP($C64,お客様データ添付!$AI:$AL,4,FALSE),0)</f>
        <v>0</v>
      </c>
    </row>
    <row r="65" spans="1:6">
      <c r="A65" s="1">
        <f>_xlfn.IFNA(_xlfn.IFNA(_xlfn.IFNA(_xlfn.IFNA(_xlfn.XLOOKUP(C65,お客様データ添付!G:G,お客様データ添付!E:E),_xlfn.XLOOKUP(C65,お客様データ添付!N:N,お客様データ添付!L:L)),_xlfn.XLOOKUP(C65,お客様データ添付!U:U,お客様データ添付!S:S)),_xlfn.XLOOKUP(C65,お客様データ添付!AB:AB,お客様データ添付!Z:Z)),_xlfn.XLOOKUP(C65,お客様データ添付!AI:AI,お客様データ添付!AG:AG))</f>
        <v>306</v>
      </c>
      <c r="B65" t="s">
        <v>752</v>
      </c>
      <c r="C65" t="s">
        <v>1549</v>
      </c>
      <c r="D65" s="1">
        <f>IF(C65&lt;&gt;"",MATCH(C65,お客様データリスト!$A$2:$MV$2,0),"")</f>
        <v>134</v>
      </c>
      <c r="E65" s="1">
        <f t="shared" ca="1" si="0"/>
        <v>2</v>
      </c>
      <c r="F65" s="1">
        <f>_xlfn.IFNA(VLOOKUP($C65,お客様データ添付!$G:$J,4,FALSE),0)+
_xlfn.IFNA(VLOOKUP($C65,お客様データ添付!$N:$Q,4,FALSE),0)+
_xlfn.IFNA(VLOOKUP($C65,お客様データ添付!$U:$X,4,FALSE),0)+
_xlfn.IFNA(VLOOKUP($C65,お客様データ添付!$AB:$AE,4,FALSE),0)+
_xlfn.IFNA(VLOOKUP($C65,お客様データ添付!$AI:$AL,4,FALSE),0)</f>
        <v>0</v>
      </c>
    </row>
    <row r="66" spans="1:6">
      <c r="A66" s="1">
        <f>_xlfn.IFNA(_xlfn.IFNA(_xlfn.IFNA(_xlfn.IFNA(_xlfn.XLOOKUP(C66,お客様データ添付!G:G,お客様データ添付!E:E),_xlfn.XLOOKUP(C66,お客様データ添付!N:N,お客様データ添付!L:L)),_xlfn.XLOOKUP(C66,お客様データ添付!U:U,お客様データ添付!S:S)),_xlfn.XLOOKUP(C66,お客様データ添付!AB:AB,お客様データ添付!Z:Z)),_xlfn.XLOOKUP(C66,お客様データ添付!AI:AI,お客様データ添付!AG:AG))</f>
        <v>307</v>
      </c>
      <c r="B66" t="s">
        <v>3859</v>
      </c>
      <c r="C66" t="s">
        <v>3861</v>
      </c>
      <c r="D66" s="1">
        <f>IF(C66&lt;&gt;"",MATCH(C66,お客様データリスト!$A$2:$MV$2,0),"")</f>
        <v>152</v>
      </c>
      <c r="E66" s="1">
        <f ca="1">COUNTA(INDIRECT("R4C"&amp;D66&amp;":R1000C"&amp;D66,FALSE))</f>
        <v>1</v>
      </c>
      <c r="F66" s="1">
        <f>_xlfn.IFNA(VLOOKUP($C66,お客様データ添付!$G:$J,4,FALSE),0)+
_xlfn.IFNA(VLOOKUP($C66,お客様データ添付!$N:$Q,4,FALSE),0)+
_xlfn.IFNA(VLOOKUP($C66,お客様データ添付!$U:$X,4,FALSE),0)+
_xlfn.IFNA(VLOOKUP($C66,お客様データ添付!$AB:$AE,4,FALSE),0)+
_xlfn.IFNA(VLOOKUP($C66,お客様データ添付!$AI:$AL,4,FALSE),0)</f>
        <v>0</v>
      </c>
    </row>
    <row r="67" spans="1:6">
      <c r="A67" s="1">
        <f>_xlfn.IFNA(_xlfn.IFNA(_xlfn.IFNA(_xlfn.IFNA(_xlfn.XLOOKUP(C67,お客様データ添付!G:G,お客様データ添付!E:E),_xlfn.XLOOKUP(C67,お客様データ添付!N:N,お客様データ添付!L:L)),_xlfn.XLOOKUP(C67,お客様データ添付!U:U,お客様データ添付!S:S)),_xlfn.XLOOKUP(C67,お客様データ添付!AB:AB,お客様データ添付!Z:Z)),_xlfn.XLOOKUP(C67,お客様データ添付!AI:AI,お客様データ添付!AG:AG))</f>
        <v>308</v>
      </c>
      <c r="B67" t="s">
        <v>3863</v>
      </c>
      <c r="C67" t="s">
        <v>3862</v>
      </c>
      <c r="D67" s="1">
        <f>IF(C67&lt;&gt;"",MATCH(C67,お客様データリスト!$A$2:$MV$2,0),"")</f>
        <v>154</v>
      </c>
      <c r="E67" s="1">
        <f t="shared" ref="E67" ca="1" si="1">COUNTA(INDIRECT("R4C"&amp;D67&amp;":R1000C"&amp;D67,FALSE))</f>
        <v>1</v>
      </c>
      <c r="F67" s="1">
        <f>_xlfn.IFNA(VLOOKUP($C67,お客様データ添付!$G:$J,4,FALSE),0)+
_xlfn.IFNA(VLOOKUP($C67,お客様データ添付!$N:$Q,4,FALSE),0)+
_xlfn.IFNA(VLOOKUP($C67,お客様データ添付!$U:$X,4,FALSE),0)+
_xlfn.IFNA(VLOOKUP($C67,お客様データ添付!$AB:$AE,4,FALSE),0)+
_xlfn.IFNA(VLOOKUP($C67,お客様データ添付!$AI:$AL,4,FALSE),0)</f>
        <v>0</v>
      </c>
    </row>
    <row r="68" spans="1:6">
      <c r="A68" s="1">
        <f>_xlfn.IFNA(_xlfn.IFNA(_xlfn.IFNA(_xlfn.IFNA(_xlfn.XLOOKUP(C68,お客様データ添付!G:G,お客様データ添付!E:E),_xlfn.XLOOKUP(C68,お客様データ添付!N:N,お客様データ添付!L:L)),_xlfn.XLOOKUP(C68,お客様データ添付!U:U,お客様データ添付!S:S)),_xlfn.XLOOKUP(C68,お客様データ添付!AB:AB,お客様データ添付!Z:Z)),_xlfn.XLOOKUP(C68,お客様データ添付!AI:AI,お客様データ添付!AG:AG))</f>
        <v>309</v>
      </c>
      <c r="B68" t="s">
        <v>757</v>
      </c>
      <c r="C68" t="s">
        <v>1550</v>
      </c>
      <c r="D68" s="1">
        <f>IF(C68&lt;&gt;"",MATCH(C68,お客様データリスト!$A$2:$MV$2,0),"")</f>
        <v>136</v>
      </c>
      <c r="E68" s="1">
        <f t="shared" ca="1" si="0"/>
        <v>0</v>
      </c>
      <c r="F68" s="1">
        <f>_xlfn.IFNA(VLOOKUP($C68,お客様データ添付!$G:$J,4,FALSE),0)+
_xlfn.IFNA(VLOOKUP($C68,お客様データ添付!$N:$Q,4,FALSE),0)+
_xlfn.IFNA(VLOOKUP($C68,お客様データ添付!$U:$X,4,FALSE),0)+
_xlfn.IFNA(VLOOKUP($C68,お客様データ添付!$AB:$AE,4,FALSE),0)+
_xlfn.IFNA(VLOOKUP($C68,お客様データ添付!$AI:$AL,4,FALSE),0)</f>
        <v>0</v>
      </c>
    </row>
    <row r="69" spans="1:6">
      <c r="A69" s="1">
        <f>_xlfn.IFNA(_xlfn.IFNA(_xlfn.IFNA(_xlfn.IFNA(_xlfn.XLOOKUP(C69,お客様データ添付!G:G,お客様データ添付!E:E),_xlfn.XLOOKUP(C69,お客様データ添付!N:N,お客様データ添付!L:L)),_xlfn.XLOOKUP(C69,お客様データ添付!U:U,お客様データ添付!S:S)),_xlfn.XLOOKUP(C69,お客様データ添付!AB:AB,お客様データ添付!Z:Z)),_xlfn.XLOOKUP(C69,お客様データ添付!AI:AI,お客様データ添付!AG:AG))</f>
        <v>310</v>
      </c>
      <c r="B69" t="s">
        <v>765</v>
      </c>
      <c r="C69" t="s">
        <v>1551</v>
      </c>
      <c r="D69" s="1">
        <f>IF(C69&lt;&gt;"",MATCH(C69,お客様データリスト!$A$2:$MV$2,0),"")</f>
        <v>138</v>
      </c>
      <c r="E69" s="1">
        <f t="shared" ca="1" si="0"/>
        <v>0</v>
      </c>
      <c r="F69" s="1">
        <f>_xlfn.IFNA(VLOOKUP($C69,お客様データ添付!$G:$J,4,FALSE),0)+
_xlfn.IFNA(VLOOKUP($C69,お客様データ添付!$N:$Q,4,FALSE),0)+
_xlfn.IFNA(VLOOKUP($C69,お客様データ添付!$U:$X,4,FALSE),0)+
_xlfn.IFNA(VLOOKUP($C69,お客様データ添付!$AB:$AE,4,FALSE),0)+
_xlfn.IFNA(VLOOKUP($C69,お客様データ添付!$AI:$AL,4,FALSE),0)</f>
        <v>0</v>
      </c>
    </row>
    <row r="70" spans="1:6">
      <c r="A70" s="1">
        <f>_xlfn.IFNA(_xlfn.IFNA(_xlfn.IFNA(_xlfn.IFNA(_xlfn.XLOOKUP(C70,お客様データ添付!G:G,お客様データ添付!E:E),_xlfn.XLOOKUP(C70,お客様データ添付!N:N,お客様データ添付!L:L)),_xlfn.XLOOKUP(C70,お客様データ添付!U:U,お客様データ添付!S:S)),_xlfn.XLOOKUP(C70,お客様データ添付!AB:AB,お客様データ添付!Z:Z)),_xlfn.XLOOKUP(C70,お客様データ添付!AI:AI,お客様データ添付!AG:AG))</f>
        <v>311</v>
      </c>
      <c r="B70" t="s">
        <v>773</v>
      </c>
      <c r="C70" t="s">
        <v>1552</v>
      </c>
      <c r="D70" s="1">
        <f>IF(C70&lt;&gt;"",MATCH(C70,お客様データリスト!$A$2:$MV$2,0),"")</f>
        <v>140</v>
      </c>
      <c r="E70" s="1">
        <f t="shared" ca="1" si="0"/>
        <v>0</v>
      </c>
      <c r="F70" s="1">
        <f>_xlfn.IFNA(VLOOKUP($C70,お客様データ添付!$G:$J,4,FALSE),0)+
_xlfn.IFNA(VLOOKUP($C70,お客様データ添付!$N:$Q,4,FALSE),0)+
_xlfn.IFNA(VLOOKUP($C70,お客様データ添付!$U:$X,4,FALSE),0)+
_xlfn.IFNA(VLOOKUP($C70,お客様データ添付!$AB:$AE,4,FALSE),0)+
_xlfn.IFNA(VLOOKUP($C70,お客様データ添付!$AI:$AL,4,FALSE),0)</f>
        <v>0</v>
      </c>
    </row>
    <row r="71" spans="1:6">
      <c r="A71" s="1">
        <f>_xlfn.IFNA(_xlfn.IFNA(_xlfn.IFNA(_xlfn.IFNA(_xlfn.XLOOKUP(C71,お客様データ添付!G:G,お客様データ添付!E:E),_xlfn.XLOOKUP(C71,お客様データ添付!N:N,お客様データ添付!L:L)),_xlfn.XLOOKUP(C71,お客様データ添付!U:U,お客様データ添付!S:S)),_xlfn.XLOOKUP(C71,お客様データ添付!AB:AB,お客様データ添付!Z:Z)),_xlfn.XLOOKUP(C71,お客様データ添付!AI:AI,お客様データ添付!AG:AG))</f>
        <v>312</v>
      </c>
      <c r="B71" t="s">
        <v>781</v>
      </c>
      <c r="C71" t="s">
        <v>1553</v>
      </c>
      <c r="D71" s="1">
        <f>IF(C71&lt;&gt;"",MATCH(C71,お客様データリスト!$A$2:$MV$2,0),"")</f>
        <v>142</v>
      </c>
      <c r="E71" s="1">
        <f t="shared" ca="1" si="0"/>
        <v>0</v>
      </c>
      <c r="F71" s="1">
        <f>_xlfn.IFNA(VLOOKUP($C71,お客様データ添付!$G:$J,4,FALSE),0)+
_xlfn.IFNA(VLOOKUP($C71,お客様データ添付!$N:$Q,4,FALSE),0)+
_xlfn.IFNA(VLOOKUP($C71,お客様データ添付!$U:$X,4,FALSE),0)+
_xlfn.IFNA(VLOOKUP($C71,お客様データ添付!$AB:$AE,4,FALSE),0)+
_xlfn.IFNA(VLOOKUP($C71,お客様データ添付!$AI:$AL,4,FALSE),0)</f>
        <v>0</v>
      </c>
    </row>
    <row r="72" spans="1:6">
      <c r="A72" s="1">
        <f>_xlfn.IFNA(_xlfn.IFNA(_xlfn.IFNA(_xlfn.IFNA(_xlfn.XLOOKUP(C72,お客様データ添付!G:G,お客様データ添付!E:E),_xlfn.XLOOKUP(C72,お客様データ添付!N:N,お客様データ添付!L:L)),_xlfn.XLOOKUP(C72,お客様データ添付!U:U,お客様データ添付!S:S)),_xlfn.XLOOKUP(C72,お客様データ添付!AB:AB,お客様データ添付!Z:Z)),_xlfn.XLOOKUP(C72,お客様データ添付!AI:AI,お客様データ添付!AG:AG))</f>
        <v>313</v>
      </c>
      <c r="B72" t="s">
        <v>789</v>
      </c>
      <c r="C72" t="s">
        <v>1554</v>
      </c>
      <c r="D72" s="1">
        <f>IF(C72&lt;&gt;"",MATCH(C72,お客様データリスト!$A$2:$MV$2,0),"")</f>
        <v>144</v>
      </c>
      <c r="E72" s="1">
        <f t="shared" ref="E72:E136" ca="1" si="2">COUNTA(INDIRECT("R4C"&amp;D72&amp;":R1000C"&amp;D72,FALSE))</f>
        <v>0</v>
      </c>
      <c r="F72" s="1">
        <f>_xlfn.IFNA(VLOOKUP($C72,お客様データ添付!$G:$J,4,FALSE),0)+
_xlfn.IFNA(VLOOKUP($C72,お客様データ添付!$N:$Q,4,FALSE),0)+
_xlfn.IFNA(VLOOKUP($C72,お客様データ添付!$U:$X,4,FALSE),0)+
_xlfn.IFNA(VLOOKUP($C72,お客様データ添付!$AB:$AE,4,FALSE),0)+
_xlfn.IFNA(VLOOKUP($C72,お客様データ添付!$AI:$AL,4,FALSE),0)</f>
        <v>0</v>
      </c>
    </row>
    <row r="73" spans="1:6">
      <c r="A73" s="1">
        <f>_xlfn.IFNA(_xlfn.IFNA(_xlfn.IFNA(_xlfn.IFNA(_xlfn.XLOOKUP(C73,お客様データ添付!G:G,お客様データ添付!E:E),_xlfn.XLOOKUP(C73,お客様データ添付!N:N,お客様データ添付!L:L)),_xlfn.XLOOKUP(C73,お客様データ添付!U:U,お客様データ添付!S:S)),_xlfn.XLOOKUP(C73,お客様データ添付!AB:AB,お客様データ添付!Z:Z)),_xlfn.XLOOKUP(C73,お客様データ添付!AI:AI,お客様データ添付!AG:AG))</f>
        <v>314</v>
      </c>
      <c r="B73" t="s">
        <v>2709</v>
      </c>
      <c r="C73" t="s">
        <v>1555</v>
      </c>
      <c r="D73" s="1">
        <f>IF(C73&lt;&gt;"",MATCH(C73,お客様データリスト!$A$2:$MV$2,0),"")</f>
        <v>146</v>
      </c>
      <c r="E73" s="1">
        <f t="shared" ca="1" si="2"/>
        <v>0</v>
      </c>
      <c r="F73" s="1">
        <f>_xlfn.IFNA(VLOOKUP($C73,お客様データ添付!$G:$J,4,FALSE),0)+
_xlfn.IFNA(VLOOKUP($C73,お客様データ添付!$N:$Q,4,FALSE),0)+
_xlfn.IFNA(VLOOKUP($C73,お客様データ添付!$U:$X,4,FALSE),0)+
_xlfn.IFNA(VLOOKUP($C73,お客様データ添付!$AB:$AE,4,FALSE),0)+
_xlfn.IFNA(VLOOKUP($C73,お客様データ添付!$AI:$AL,4,FALSE),0)</f>
        <v>0</v>
      </c>
    </row>
    <row r="74" spans="1:6">
      <c r="A74" s="1">
        <f>_xlfn.IFNA(_xlfn.IFNA(_xlfn.IFNA(_xlfn.IFNA(_xlfn.XLOOKUP(C74,お客様データ添付!G:G,お客様データ添付!E:E),_xlfn.XLOOKUP(C74,お客様データ添付!N:N,お客様データ添付!L:L)),_xlfn.XLOOKUP(C74,お客様データ添付!U:U,お客様データ添付!S:S)),_xlfn.XLOOKUP(C74,お客様データ添付!AB:AB,お客様データ添付!Z:Z)),_xlfn.XLOOKUP(C74,お客様データ添付!AI:AI,お客様データ添付!AG:AG))</f>
        <v>315</v>
      </c>
      <c r="B74" t="s">
        <v>2711</v>
      </c>
      <c r="C74" t="s">
        <v>1556</v>
      </c>
      <c r="D74" s="1">
        <f>IF(C74&lt;&gt;"",MATCH(C74,お客様データリスト!$A$2:$MV$2,0),"")</f>
        <v>148</v>
      </c>
      <c r="E74" s="1">
        <f t="shared" ca="1" si="2"/>
        <v>5</v>
      </c>
      <c r="F74" s="1">
        <f>_xlfn.IFNA(VLOOKUP($C74,お客様データ添付!$G:$J,4,FALSE),0)+
_xlfn.IFNA(VLOOKUP($C74,お客様データ添付!$N:$Q,4,FALSE),0)+
_xlfn.IFNA(VLOOKUP($C74,お客様データ添付!$U:$X,4,FALSE),0)+
_xlfn.IFNA(VLOOKUP($C74,お客様データ添付!$AB:$AE,4,FALSE),0)+
_xlfn.IFNA(VLOOKUP($C74,お客様データ添付!$AI:$AL,4,FALSE),0)</f>
        <v>0</v>
      </c>
    </row>
    <row r="75" spans="1:6">
      <c r="A75" s="1">
        <f>_xlfn.IFNA(_xlfn.IFNA(_xlfn.IFNA(_xlfn.IFNA(_xlfn.XLOOKUP(C75,お客様データ添付!G:G,お客様データ添付!E:E),_xlfn.XLOOKUP(C75,お客様データ添付!N:N,お客様データ添付!L:L)),_xlfn.XLOOKUP(C75,お客様データ添付!U:U,お客様データ添付!S:S)),_xlfn.XLOOKUP(C75,お客様データ添付!AB:AB,お客様データ添付!Z:Z)),_xlfn.XLOOKUP(C75,お客様データ添付!AI:AI,お客様データ添付!AG:AG))</f>
        <v>316</v>
      </c>
      <c r="B75" t="s">
        <v>2712</v>
      </c>
      <c r="C75" t="s">
        <v>1557</v>
      </c>
      <c r="D75" s="1">
        <f>IF(C75&lt;&gt;"",MATCH(C75,お客様データリスト!$A$2:$MV$2,0),"")</f>
        <v>150</v>
      </c>
      <c r="E75" s="1">
        <f t="shared" ca="1" si="2"/>
        <v>1</v>
      </c>
      <c r="F75" s="1">
        <f>_xlfn.IFNA(VLOOKUP($C75,お客様データ添付!$G:$J,4,FALSE),0)+
_xlfn.IFNA(VLOOKUP($C75,お客様データ添付!$N:$Q,4,FALSE),0)+
_xlfn.IFNA(VLOOKUP($C75,お客様データ添付!$U:$X,4,FALSE),0)+
_xlfn.IFNA(VLOOKUP($C75,お客様データ添付!$AB:$AE,4,FALSE),0)+
_xlfn.IFNA(VLOOKUP($C75,お客様データ添付!$AI:$AL,4,FALSE),0)</f>
        <v>0</v>
      </c>
    </row>
    <row r="76" spans="1:6">
      <c r="A76" s="1">
        <f>_xlfn.IFNA(_xlfn.IFNA(_xlfn.IFNA(_xlfn.IFNA(_xlfn.XLOOKUP(C76,お客様データ添付!G:G,お客様データ添付!E:E),_xlfn.XLOOKUP(C76,お客様データ添付!N:N,お客様データ添付!L:L)),_xlfn.XLOOKUP(C76,お客様データ添付!U:U,お客様データ添付!S:S)),_xlfn.XLOOKUP(C76,お客様データ添付!AB:AB,お客様データ添付!Z:Z)),_xlfn.XLOOKUP(C76,お客様データ添付!AI:AI,お客様データ添付!AG:AG))</f>
        <v>317</v>
      </c>
      <c r="B76" t="s">
        <v>2669</v>
      </c>
      <c r="C76" t="s">
        <v>1560</v>
      </c>
      <c r="D76" s="1">
        <f>IF(C76&lt;&gt;"",MATCH(C76,お客様データリスト!$A$2:$MV$2,0),"")</f>
        <v>156</v>
      </c>
      <c r="E76" s="1">
        <f t="shared" ca="1" si="2"/>
        <v>1</v>
      </c>
      <c r="F76" s="1">
        <f>_xlfn.IFNA(VLOOKUP($C76,お客様データ添付!$G:$J,4,FALSE),0)+
_xlfn.IFNA(VLOOKUP($C76,お客様データ添付!$N:$Q,4,FALSE),0)+
_xlfn.IFNA(VLOOKUP($C76,お客様データ添付!$U:$X,4,FALSE),0)+
_xlfn.IFNA(VLOOKUP($C76,お客様データ添付!$AB:$AE,4,FALSE),0)+
_xlfn.IFNA(VLOOKUP($C76,お客様データ添付!$AI:$AL,4,FALSE),0)</f>
        <v>0</v>
      </c>
    </row>
    <row r="77" spans="1:6">
      <c r="A77" s="1">
        <f>_xlfn.IFNA(_xlfn.IFNA(_xlfn.IFNA(_xlfn.IFNA(_xlfn.XLOOKUP(C77,お客様データ添付!G:G,お客様データ添付!E:E),_xlfn.XLOOKUP(C77,お客様データ添付!N:N,お客様データ添付!L:L)),_xlfn.XLOOKUP(C77,お客様データ添付!U:U,お客様データ添付!S:S)),_xlfn.XLOOKUP(C77,お客様データ添付!AB:AB,お客様データ添付!Z:Z)),_xlfn.XLOOKUP(C77,お客様データ添付!AI:AI,お客様データ添付!AG:AG))</f>
        <v>318</v>
      </c>
      <c r="B77" t="s">
        <v>884</v>
      </c>
      <c r="C77" t="s">
        <v>1561</v>
      </c>
      <c r="D77" s="1">
        <f>IF(C77&lt;&gt;"",MATCH(C77,お客様データリスト!$A$2:$MV$2,0),"")</f>
        <v>158</v>
      </c>
      <c r="E77" s="1">
        <f t="shared" ca="1" si="2"/>
        <v>1</v>
      </c>
      <c r="F77" s="1">
        <f>_xlfn.IFNA(VLOOKUP($C77,お客様データ添付!$G:$J,4,FALSE),0)+
_xlfn.IFNA(VLOOKUP($C77,お客様データ添付!$N:$Q,4,FALSE),0)+
_xlfn.IFNA(VLOOKUP($C77,お客様データ添付!$U:$X,4,FALSE),0)+
_xlfn.IFNA(VLOOKUP($C77,お客様データ添付!$AB:$AE,4,FALSE),0)+
_xlfn.IFNA(VLOOKUP($C77,お客様データ添付!$AI:$AL,4,FALSE),0)</f>
        <v>0</v>
      </c>
    </row>
    <row r="78" spans="1:6">
      <c r="A78" s="1">
        <f>_xlfn.IFNA(_xlfn.IFNA(_xlfn.IFNA(_xlfn.IFNA(_xlfn.XLOOKUP(C78,お客様データ添付!G:G,お客様データ添付!E:E),_xlfn.XLOOKUP(C78,お客様データ添付!N:N,お客様データ添付!L:L)),_xlfn.XLOOKUP(C78,お客様データ添付!U:U,お客様データ添付!S:S)),_xlfn.XLOOKUP(C78,お客様データ添付!AB:AB,お客様データ添付!Z:Z)),_xlfn.XLOOKUP(C78,お客様データ添付!AI:AI,お客様データ添付!AG:AG))</f>
        <v>319</v>
      </c>
      <c r="B78" t="s">
        <v>2716</v>
      </c>
      <c r="C78" t="s">
        <v>1562</v>
      </c>
      <c r="D78" s="1">
        <f>IF(C78&lt;&gt;"",MATCH(C78,お客様データリスト!$A$2:$MV$2,0),"")</f>
        <v>160</v>
      </c>
      <c r="E78" s="1">
        <f t="shared" ca="1" si="2"/>
        <v>3</v>
      </c>
      <c r="F78" s="1">
        <f>_xlfn.IFNA(VLOOKUP($C78,お客様データ添付!$G:$J,4,FALSE),0)+
_xlfn.IFNA(VLOOKUP($C78,お客様データ添付!$N:$Q,4,FALSE),0)+
_xlfn.IFNA(VLOOKUP($C78,お客様データ添付!$U:$X,4,FALSE),0)+
_xlfn.IFNA(VLOOKUP($C78,お客様データ添付!$AB:$AE,4,FALSE),0)+
_xlfn.IFNA(VLOOKUP($C78,お客様データ添付!$AI:$AL,4,FALSE),0)</f>
        <v>0</v>
      </c>
    </row>
    <row r="79" spans="1:6">
      <c r="A79" s="1">
        <f>_xlfn.IFNA(_xlfn.IFNA(_xlfn.IFNA(_xlfn.IFNA(_xlfn.XLOOKUP(C79,お客様データ添付!G:G,お客様データ添付!E:E),_xlfn.XLOOKUP(C79,お客様データ添付!N:N,お客様データ添付!L:L)),_xlfn.XLOOKUP(C79,お客様データ添付!U:U,お客様データ添付!S:S)),_xlfn.XLOOKUP(C79,お客様データ添付!AB:AB,お客様データ添付!Z:Z)),_xlfn.XLOOKUP(C79,お客様データ添付!AI:AI,お客様データ添付!AG:AG))</f>
        <v>320</v>
      </c>
      <c r="B79" t="s">
        <v>2718</v>
      </c>
      <c r="C79" t="s">
        <v>1563</v>
      </c>
      <c r="D79" s="1">
        <f>IF(C79&lt;&gt;"",MATCH(C79,お客様データリスト!$A$2:$MV$2,0),"")</f>
        <v>162</v>
      </c>
      <c r="E79" s="1">
        <f t="shared" ca="1" si="2"/>
        <v>0</v>
      </c>
      <c r="F79" s="1">
        <f>_xlfn.IFNA(VLOOKUP($C79,お客様データ添付!$G:$J,4,FALSE),0)+
_xlfn.IFNA(VLOOKUP($C79,お客様データ添付!$N:$Q,4,FALSE),0)+
_xlfn.IFNA(VLOOKUP($C79,お客様データ添付!$U:$X,4,FALSE),0)+
_xlfn.IFNA(VLOOKUP($C79,お客様データ添付!$AB:$AE,4,FALSE),0)+
_xlfn.IFNA(VLOOKUP($C79,お客様データ添付!$AI:$AL,4,FALSE),0)</f>
        <v>0</v>
      </c>
    </row>
    <row r="80" spans="1:6">
      <c r="A80" s="1">
        <f>_xlfn.IFNA(_xlfn.IFNA(_xlfn.IFNA(_xlfn.IFNA(_xlfn.XLOOKUP(C80,お客様データ添付!G:G,お客様データ添付!E:E),_xlfn.XLOOKUP(C80,お客様データ添付!N:N,お客様データ添付!L:L)),_xlfn.XLOOKUP(C80,お客様データ添付!U:U,お客様データ添付!S:S)),_xlfn.XLOOKUP(C80,お客様データ添付!AB:AB,お客様データ添付!Z:Z)),_xlfn.XLOOKUP(C80,お客様データ添付!AI:AI,お客様データ添付!AG:AG))</f>
        <v>321</v>
      </c>
      <c r="B80" t="s">
        <v>2720</v>
      </c>
      <c r="C80" t="s">
        <v>1564</v>
      </c>
      <c r="D80" s="1">
        <f>IF(C80&lt;&gt;"",MATCH(C80,お客様データリスト!$A$2:$MV$2,0),"")</f>
        <v>164</v>
      </c>
      <c r="E80" s="1">
        <f t="shared" ca="1" si="2"/>
        <v>2</v>
      </c>
      <c r="F80" s="1">
        <f>_xlfn.IFNA(VLOOKUP($C80,お客様データ添付!$G:$J,4,FALSE),0)+
_xlfn.IFNA(VLOOKUP($C80,お客様データ添付!$N:$Q,4,FALSE),0)+
_xlfn.IFNA(VLOOKUP($C80,お客様データ添付!$U:$X,4,FALSE),0)+
_xlfn.IFNA(VLOOKUP($C80,お客様データ添付!$AB:$AE,4,FALSE),0)+
_xlfn.IFNA(VLOOKUP($C80,お客様データ添付!$AI:$AL,4,FALSE),0)</f>
        <v>0</v>
      </c>
    </row>
    <row r="81" spans="1:6">
      <c r="A81" s="1">
        <f>_xlfn.IFNA(_xlfn.IFNA(_xlfn.IFNA(_xlfn.IFNA(_xlfn.XLOOKUP(C81,お客様データ添付!G:G,お客様データ添付!E:E),_xlfn.XLOOKUP(C81,お客様データ添付!N:N,お客様データ添付!L:L)),_xlfn.XLOOKUP(C81,お客様データ添付!U:U,お客様データ添付!S:S)),_xlfn.XLOOKUP(C81,お客様データ添付!AB:AB,お客様データ添付!Z:Z)),_xlfn.XLOOKUP(C81,お客様データ添付!AI:AI,お客様データ添付!AG:AG))</f>
        <v>322</v>
      </c>
      <c r="B81" t="s">
        <v>757</v>
      </c>
      <c r="C81" t="s">
        <v>1568</v>
      </c>
      <c r="D81" s="1">
        <f>IF(C81&lt;&gt;"",MATCH(C81,お客様データリスト!$A$2:$MV$2,0),"")</f>
        <v>166</v>
      </c>
      <c r="E81" s="1">
        <f t="shared" ca="1" si="2"/>
        <v>0</v>
      </c>
      <c r="F81" s="1">
        <f>_xlfn.IFNA(VLOOKUP($C81,お客様データ添付!$G:$J,4,FALSE),0)+
_xlfn.IFNA(VLOOKUP($C81,お客様データ添付!$N:$Q,4,FALSE),0)+
_xlfn.IFNA(VLOOKUP($C81,お客様データ添付!$U:$X,4,FALSE),0)+
_xlfn.IFNA(VLOOKUP($C81,お客様データ添付!$AB:$AE,4,FALSE),0)+
_xlfn.IFNA(VLOOKUP($C81,お客様データ添付!$AI:$AL,4,FALSE),0)</f>
        <v>0</v>
      </c>
    </row>
    <row r="82" spans="1:6">
      <c r="A82" s="1">
        <f>_xlfn.IFNA(_xlfn.IFNA(_xlfn.IFNA(_xlfn.IFNA(_xlfn.XLOOKUP(C82,お客様データ添付!G:G,お客様データ添付!E:E),_xlfn.XLOOKUP(C82,お客様データ添付!N:N,お客様データ添付!L:L)),_xlfn.XLOOKUP(C82,お客様データ添付!U:U,お客様データ添付!S:S)),_xlfn.XLOOKUP(C82,お客様データ添付!AB:AB,お客様データ添付!Z:Z)),_xlfn.XLOOKUP(C82,お客様データ添付!AI:AI,お客様データ添付!AG:AG))</f>
        <v>323</v>
      </c>
      <c r="B82" t="s">
        <v>765</v>
      </c>
      <c r="C82" t="s">
        <v>1569</v>
      </c>
      <c r="D82" s="1">
        <f>IF(C82&lt;&gt;"",MATCH(C82,お客様データリスト!$A$2:$MV$2,0),"")</f>
        <v>168</v>
      </c>
      <c r="E82" s="1">
        <f t="shared" ca="1" si="2"/>
        <v>0</v>
      </c>
      <c r="F82" s="1">
        <f>_xlfn.IFNA(VLOOKUP($C82,お客様データ添付!$G:$J,4,FALSE),0)+
_xlfn.IFNA(VLOOKUP($C82,お客様データ添付!$N:$Q,4,FALSE),0)+
_xlfn.IFNA(VLOOKUP($C82,お客様データ添付!$U:$X,4,FALSE),0)+
_xlfn.IFNA(VLOOKUP($C82,お客様データ添付!$AB:$AE,4,FALSE),0)+
_xlfn.IFNA(VLOOKUP($C82,お客様データ添付!$AI:$AL,4,FALSE),0)</f>
        <v>0</v>
      </c>
    </row>
    <row r="83" spans="1:6">
      <c r="A83" s="1">
        <f>_xlfn.IFNA(_xlfn.IFNA(_xlfn.IFNA(_xlfn.IFNA(_xlfn.XLOOKUP(C83,お客様データ添付!G:G,お客様データ添付!E:E),_xlfn.XLOOKUP(C83,お客様データ添付!N:N,お客様データ添付!L:L)),_xlfn.XLOOKUP(C83,お客様データ添付!U:U,お客様データ添付!S:S)),_xlfn.XLOOKUP(C83,お客様データ添付!AB:AB,お客様データ添付!Z:Z)),_xlfn.XLOOKUP(C83,お客様データ添付!AI:AI,お客様データ添付!AG:AG))</f>
        <v>324</v>
      </c>
      <c r="B83" t="s">
        <v>773</v>
      </c>
      <c r="C83" t="s">
        <v>1570</v>
      </c>
      <c r="D83" s="1">
        <f>IF(C83&lt;&gt;"",MATCH(C83,お客様データリスト!$A$2:$MV$2,0),"")</f>
        <v>170</v>
      </c>
      <c r="E83" s="1">
        <f t="shared" ca="1" si="2"/>
        <v>0</v>
      </c>
      <c r="F83" s="1">
        <f>_xlfn.IFNA(VLOOKUP($C83,お客様データ添付!$G:$J,4,FALSE),0)+
_xlfn.IFNA(VLOOKUP($C83,お客様データ添付!$N:$Q,4,FALSE),0)+
_xlfn.IFNA(VLOOKUP($C83,お客様データ添付!$U:$X,4,FALSE),0)+
_xlfn.IFNA(VLOOKUP($C83,お客様データ添付!$AB:$AE,4,FALSE),0)+
_xlfn.IFNA(VLOOKUP($C83,お客様データ添付!$AI:$AL,4,FALSE),0)</f>
        <v>0</v>
      </c>
    </row>
    <row r="84" spans="1:6">
      <c r="A84" s="1">
        <f>_xlfn.IFNA(_xlfn.IFNA(_xlfn.IFNA(_xlfn.IFNA(_xlfn.XLOOKUP(C84,お客様データ添付!G:G,お客様データ添付!E:E),_xlfn.XLOOKUP(C84,お客様データ添付!N:N,お客様データ添付!L:L)),_xlfn.XLOOKUP(C84,お客様データ添付!U:U,お客様データ添付!S:S)),_xlfn.XLOOKUP(C84,お客様データ添付!AB:AB,お客様データ添付!Z:Z)),_xlfn.XLOOKUP(C84,お客様データ添付!AI:AI,お客様データ添付!AG:AG))</f>
        <v>325</v>
      </c>
      <c r="B84" t="s">
        <v>2724</v>
      </c>
      <c r="C84" t="s">
        <v>1571</v>
      </c>
      <c r="D84" s="1">
        <f>IF(C84&lt;&gt;"",MATCH(C84,お客様データリスト!$A$2:$MV$2,0),"")</f>
        <v>172</v>
      </c>
      <c r="E84" s="1">
        <f t="shared" ca="1" si="2"/>
        <v>2</v>
      </c>
      <c r="F84" s="1">
        <f>_xlfn.IFNA(VLOOKUP($C84,お客様データ添付!$G:$J,4,FALSE),0)+
_xlfn.IFNA(VLOOKUP($C84,お客様データ添付!$N:$Q,4,FALSE),0)+
_xlfn.IFNA(VLOOKUP($C84,お客様データ添付!$U:$X,4,FALSE),0)+
_xlfn.IFNA(VLOOKUP($C84,お客様データ添付!$AB:$AE,4,FALSE),0)+
_xlfn.IFNA(VLOOKUP($C84,お客様データ添付!$AI:$AL,4,FALSE),0)</f>
        <v>0</v>
      </c>
    </row>
    <row r="85" spans="1:6">
      <c r="A85" s="1">
        <f>_xlfn.IFNA(_xlfn.IFNA(_xlfn.IFNA(_xlfn.IFNA(_xlfn.XLOOKUP(C85,お客様データ添付!G:G,お客様データ添付!E:E),_xlfn.XLOOKUP(C85,お客様データ添付!N:N,お客様データ添付!L:L)),_xlfn.XLOOKUP(C85,お客様データ添付!U:U,お客様データ添付!S:S)),_xlfn.XLOOKUP(C85,お客様データ添付!AB:AB,お客様データ添付!Z:Z)),_xlfn.XLOOKUP(C85,お客様データ添付!AI:AI,お客様データ添付!AG:AG))</f>
        <v>326</v>
      </c>
      <c r="B85" t="s">
        <v>2725</v>
      </c>
      <c r="C85" t="s">
        <v>1572</v>
      </c>
      <c r="D85" s="1">
        <f>IF(C85&lt;&gt;"",MATCH(C85,お客様データリスト!$A$2:$MV$2,0),"")</f>
        <v>174</v>
      </c>
      <c r="E85" s="1">
        <f t="shared" ca="1" si="2"/>
        <v>1</v>
      </c>
      <c r="F85" s="1">
        <f>_xlfn.IFNA(VLOOKUP($C85,お客様データ添付!$G:$J,4,FALSE),0)+
_xlfn.IFNA(VLOOKUP($C85,お客様データ添付!$N:$Q,4,FALSE),0)+
_xlfn.IFNA(VLOOKUP($C85,お客様データ添付!$U:$X,4,FALSE),0)+
_xlfn.IFNA(VLOOKUP($C85,お客様データ添付!$AB:$AE,4,FALSE),0)+
_xlfn.IFNA(VLOOKUP($C85,お客様データ添付!$AI:$AL,4,FALSE),0)</f>
        <v>0</v>
      </c>
    </row>
    <row r="86" spans="1:6">
      <c r="A86" s="1">
        <f>_xlfn.IFNA(_xlfn.IFNA(_xlfn.IFNA(_xlfn.IFNA(_xlfn.XLOOKUP(C86,お客様データ添付!G:G,お客様データ添付!E:E),_xlfn.XLOOKUP(C86,お客様データ添付!N:N,お客様データ添付!L:L)),_xlfn.XLOOKUP(C86,お客様データ添付!U:U,お客様データ添付!S:S)),_xlfn.XLOOKUP(C86,お客様データ添付!AB:AB,お客様データ添付!Z:Z)),_xlfn.XLOOKUP(C86,お客様データ添付!AI:AI,お客様データ添付!AG:AG))</f>
        <v>327</v>
      </c>
      <c r="B86" t="s">
        <v>2726</v>
      </c>
      <c r="C86" t="s">
        <v>1573</v>
      </c>
      <c r="D86" s="1">
        <f>IF(C86&lt;&gt;"",MATCH(C86,お客様データリスト!$A$2:$MV$2,0),"")</f>
        <v>176</v>
      </c>
      <c r="E86" s="1">
        <f t="shared" ca="1" si="2"/>
        <v>0</v>
      </c>
      <c r="F86" s="1">
        <f>_xlfn.IFNA(VLOOKUP($C86,お客様データ添付!$G:$J,4,FALSE),0)+
_xlfn.IFNA(VLOOKUP($C86,お客様データ添付!$N:$Q,4,FALSE),0)+
_xlfn.IFNA(VLOOKUP($C86,お客様データ添付!$U:$X,4,FALSE),0)+
_xlfn.IFNA(VLOOKUP($C86,お客様データ添付!$AB:$AE,4,FALSE),0)+
_xlfn.IFNA(VLOOKUP($C86,お客様データ添付!$AI:$AL,4,FALSE),0)</f>
        <v>0</v>
      </c>
    </row>
    <row r="87" spans="1:6">
      <c r="A87" s="1">
        <f>_xlfn.IFNA(_xlfn.IFNA(_xlfn.IFNA(_xlfn.IFNA(_xlfn.XLOOKUP(C87,お客様データ添付!G:G,お客様データ添付!E:E),_xlfn.XLOOKUP(C87,お客様データ添付!N:N,お客様データ添付!L:L)),_xlfn.XLOOKUP(C87,お客様データ添付!U:U,お客様データ添付!S:S)),_xlfn.XLOOKUP(C87,お客様データ添付!AB:AB,お客様データ添付!Z:Z)),_xlfn.XLOOKUP(C87,お客様データ添付!AI:AI,お客様データ添付!AG:AG))</f>
        <v>328</v>
      </c>
      <c r="B87" t="s">
        <v>2728</v>
      </c>
      <c r="C87" t="s">
        <v>1576</v>
      </c>
      <c r="D87" s="1">
        <f>IF(C87&lt;&gt;"",MATCH(C87,お客様データリスト!$A$2:$MV$2,0),"")</f>
        <v>178</v>
      </c>
      <c r="E87" s="1">
        <f t="shared" ca="1" si="2"/>
        <v>4</v>
      </c>
      <c r="F87" s="1">
        <f>_xlfn.IFNA(VLOOKUP($C87,お客様データ添付!$G:$J,4,FALSE),0)+
_xlfn.IFNA(VLOOKUP($C87,お客様データ添付!$N:$Q,4,FALSE),0)+
_xlfn.IFNA(VLOOKUP($C87,お客様データ添付!$U:$X,4,FALSE),0)+
_xlfn.IFNA(VLOOKUP($C87,お客様データ添付!$AB:$AE,4,FALSE),0)+
_xlfn.IFNA(VLOOKUP($C87,お客様データ添付!$AI:$AL,4,FALSE),0)</f>
        <v>0</v>
      </c>
    </row>
    <row r="88" spans="1:6">
      <c r="A88" s="1">
        <f>_xlfn.IFNA(_xlfn.IFNA(_xlfn.IFNA(_xlfn.IFNA(_xlfn.XLOOKUP(C88,お客様データ添付!G:G,お客様データ添付!E:E),_xlfn.XLOOKUP(C88,お客様データ添付!N:N,お客様データ添付!L:L)),_xlfn.XLOOKUP(C88,お客様データ添付!U:U,お客様データ添付!S:S)),_xlfn.XLOOKUP(C88,お客様データ添付!AB:AB,お客様データ添付!Z:Z)),_xlfn.XLOOKUP(C88,お客様データ添付!AI:AI,お客様データ添付!AG:AG))</f>
        <v>329</v>
      </c>
      <c r="B88" t="s">
        <v>2730</v>
      </c>
      <c r="C88" t="s">
        <v>1577</v>
      </c>
      <c r="D88" s="1">
        <f>IF(C88&lt;&gt;"",MATCH(C88,お客様データリスト!$A$2:$MV$2,0),"")</f>
        <v>180</v>
      </c>
      <c r="E88" s="1">
        <f t="shared" ca="1" si="2"/>
        <v>5</v>
      </c>
      <c r="F88" s="1">
        <f>_xlfn.IFNA(VLOOKUP($C88,お客様データ添付!$G:$J,4,FALSE),0)+
_xlfn.IFNA(VLOOKUP($C88,お客様データ添付!$N:$Q,4,FALSE),0)+
_xlfn.IFNA(VLOOKUP($C88,お客様データ添付!$U:$X,4,FALSE),0)+
_xlfn.IFNA(VLOOKUP($C88,お客様データ添付!$AB:$AE,4,FALSE),0)+
_xlfn.IFNA(VLOOKUP($C88,お客様データ添付!$AI:$AL,4,FALSE),0)</f>
        <v>0</v>
      </c>
    </row>
    <row r="89" spans="1:6">
      <c r="A89" s="1">
        <f>_xlfn.IFNA(_xlfn.IFNA(_xlfn.IFNA(_xlfn.IFNA(_xlfn.XLOOKUP(C89,お客様データ添付!G:G,お客様データ添付!E:E),_xlfn.XLOOKUP(C89,お客様データ添付!N:N,お客様データ添付!L:L)),_xlfn.XLOOKUP(C89,お客様データ添付!U:U,お客様データ添付!S:S)),_xlfn.XLOOKUP(C89,お客様データ添付!AB:AB,お客様データ添付!Z:Z)),_xlfn.XLOOKUP(C89,お客様データ添付!AI:AI,お客様データ添付!AG:AG))</f>
        <v>330</v>
      </c>
      <c r="B89" t="s">
        <v>2730</v>
      </c>
      <c r="C89" t="s">
        <v>1578</v>
      </c>
      <c r="D89" s="1">
        <f>IF(C89&lt;&gt;"",MATCH(C89,お客様データリスト!$A$2:$MV$2,0),"")</f>
        <v>182</v>
      </c>
      <c r="E89" s="1">
        <f t="shared" ca="1" si="2"/>
        <v>2</v>
      </c>
      <c r="F89" s="1">
        <f>_xlfn.IFNA(VLOOKUP($C89,お客様データ添付!$G:$J,4,FALSE),0)+
_xlfn.IFNA(VLOOKUP($C89,お客様データ添付!$N:$Q,4,FALSE),0)+
_xlfn.IFNA(VLOOKUP($C89,お客様データ添付!$U:$X,4,FALSE),0)+
_xlfn.IFNA(VLOOKUP($C89,お客様データ添付!$AB:$AE,4,FALSE),0)+
_xlfn.IFNA(VLOOKUP($C89,お客様データ添付!$AI:$AL,4,FALSE),0)</f>
        <v>0</v>
      </c>
    </row>
    <row r="90" spans="1:6">
      <c r="A90" s="1">
        <f>_xlfn.IFNA(_xlfn.IFNA(_xlfn.IFNA(_xlfn.IFNA(_xlfn.XLOOKUP(C90,お客様データ添付!G:G,お客様データ添付!E:E),_xlfn.XLOOKUP(C90,お客様データ添付!N:N,お客様データ添付!L:L)),_xlfn.XLOOKUP(C90,お客様データ添付!U:U,お客様データ添付!S:S)),_xlfn.XLOOKUP(C90,お客様データ添付!AB:AB,お客様データ添付!Z:Z)),_xlfn.XLOOKUP(C90,お客様データ添付!AI:AI,お客様データ添付!AG:AG))</f>
        <v>331</v>
      </c>
      <c r="B90" t="s">
        <v>2731</v>
      </c>
      <c r="C90" t="s">
        <v>1579</v>
      </c>
      <c r="D90" s="1">
        <f>IF(C90&lt;&gt;"",MATCH(C90,お客様データリスト!$A$2:$MV$2,0),"")</f>
        <v>184</v>
      </c>
      <c r="E90" s="1">
        <f t="shared" ca="1" si="2"/>
        <v>0</v>
      </c>
      <c r="F90" s="1">
        <f>_xlfn.IFNA(VLOOKUP($C90,お客様データ添付!$G:$J,4,FALSE),0)+
_xlfn.IFNA(VLOOKUP($C90,お客様データ添付!$N:$Q,4,FALSE),0)+
_xlfn.IFNA(VLOOKUP($C90,お客様データ添付!$U:$X,4,FALSE),0)+
_xlfn.IFNA(VLOOKUP($C90,お客様データ添付!$AB:$AE,4,FALSE),0)+
_xlfn.IFNA(VLOOKUP($C90,お客様データ添付!$AI:$AL,4,FALSE),0)</f>
        <v>0</v>
      </c>
    </row>
    <row r="91" spans="1:6">
      <c r="A91" s="1">
        <f>_xlfn.IFNA(_xlfn.IFNA(_xlfn.IFNA(_xlfn.IFNA(_xlfn.XLOOKUP(C91,お客様データ添付!G:G,お客様データ添付!E:E),_xlfn.XLOOKUP(C91,お客様データ添付!N:N,お客様データ添付!L:L)),_xlfn.XLOOKUP(C91,お客様データ添付!U:U,お客様データ添付!S:S)),_xlfn.XLOOKUP(C91,お客様データ添付!AB:AB,お客様データ添付!Z:Z)),_xlfn.XLOOKUP(C91,お客様データ添付!AI:AI,お客様データ添付!AG:AG))</f>
        <v>332</v>
      </c>
      <c r="B91" t="s">
        <v>1061</v>
      </c>
      <c r="C91" t="s">
        <v>1580</v>
      </c>
      <c r="D91" s="1">
        <f>IF(C91&lt;&gt;"",MATCH(C91,お客様データリスト!$A$2:$MV$2,0),"")</f>
        <v>186</v>
      </c>
      <c r="E91" s="1">
        <f t="shared" ca="1" si="2"/>
        <v>0</v>
      </c>
      <c r="F91" s="1">
        <f>_xlfn.IFNA(VLOOKUP($C91,お客様データ添付!$G:$J,4,FALSE),0)+
_xlfn.IFNA(VLOOKUP($C91,お客様データ添付!$N:$Q,4,FALSE),0)+
_xlfn.IFNA(VLOOKUP($C91,お客様データ添付!$U:$X,4,FALSE),0)+
_xlfn.IFNA(VLOOKUP($C91,お客様データ添付!$AB:$AE,4,FALSE),0)+
_xlfn.IFNA(VLOOKUP($C91,お客様データ添付!$AI:$AL,4,FALSE),0)</f>
        <v>0</v>
      </c>
    </row>
    <row r="92" spans="1:6">
      <c r="A92" s="1">
        <f>_xlfn.IFNA(_xlfn.IFNA(_xlfn.IFNA(_xlfn.IFNA(_xlfn.XLOOKUP(C92,お客様データ添付!G:G,お客様データ添付!E:E),_xlfn.XLOOKUP(C92,お客様データ添付!N:N,お客様データ添付!L:L)),_xlfn.XLOOKUP(C92,お客様データ添付!U:U,お客様データ添付!S:S)),_xlfn.XLOOKUP(C92,お客様データ添付!AB:AB,お客様データ添付!Z:Z)),_xlfn.XLOOKUP(C92,お客様データ添付!AI:AI,お客様データ添付!AG:AG))</f>
        <v>333</v>
      </c>
      <c r="B92" t="s">
        <v>2733</v>
      </c>
      <c r="C92" t="s">
        <v>1583</v>
      </c>
      <c r="D92" s="1">
        <f>IF(C92&lt;&gt;"",MATCH(C92,お客様データリスト!$A$2:$MV$2,0),"")</f>
        <v>188</v>
      </c>
      <c r="E92" s="1">
        <f t="shared" ca="1" si="2"/>
        <v>1</v>
      </c>
      <c r="F92" s="1">
        <f>_xlfn.IFNA(VLOOKUP($C92,お客様データ添付!$G:$J,4,FALSE),0)+
_xlfn.IFNA(VLOOKUP($C92,お客様データ添付!$N:$Q,4,FALSE),0)+
_xlfn.IFNA(VLOOKUP($C92,お客様データ添付!$U:$X,4,FALSE),0)+
_xlfn.IFNA(VLOOKUP($C92,お客様データ添付!$AB:$AE,4,FALSE),0)+
_xlfn.IFNA(VLOOKUP($C92,お客様データ添付!$AI:$AL,4,FALSE),0)</f>
        <v>0</v>
      </c>
    </row>
    <row r="93" spans="1:6">
      <c r="A93" s="1">
        <f>_xlfn.IFNA(_xlfn.IFNA(_xlfn.IFNA(_xlfn.IFNA(_xlfn.XLOOKUP(C93,お客様データ添付!G:G,お客様データ添付!E:E),_xlfn.XLOOKUP(C93,お客様データ添付!N:N,お客様データ添付!L:L)),_xlfn.XLOOKUP(C93,お客様データ添付!U:U,お客様データ添付!S:S)),_xlfn.XLOOKUP(C93,お客様データ添付!AB:AB,お客様データ添付!Z:Z)),_xlfn.XLOOKUP(C93,お客様データ添付!AI:AI,お客様データ添付!AG:AG))</f>
        <v>334</v>
      </c>
      <c r="B93" t="s">
        <v>1096</v>
      </c>
      <c r="C93" t="s">
        <v>1584</v>
      </c>
      <c r="D93" s="1">
        <f>IF(C93&lt;&gt;"",MATCH(C93,お客様データリスト!$A$2:$MV$2,0),"")</f>
        <v>190</v>
      </c>
      <c r="E93" s="1">
        <f t="shared" ca="1" si="2"/>
        <v>0</v>
      </c>
      <c r="F93" s="1">
        <f>_xlfn.IFNA(VLOOKUP($C93,お客様データ添付!$G:$J,4,FALSE),0)+
_xlfn.IFNA(VLOOKUP($C93,お客様データ添付!$N:$Q,4,FALSE),0)+
_xlfn.IFNA(VLOOKUP($C93,お客様データ添付!$U:$X,4,FALSE),0)+
_xlfn.IFNA(VLOOKUP($C93,お客様データ添付!$AB:$AE,4,FALSE),0)+
_xlfn.IFNA(VLOOKUP($C93,お客様データ添付!$AI:$AL,4,FALSE),0)</f>
        <v>0</v>
      </c>
    </row>
    <row r="94" spans="1:6">
      <c r="A94" s="1">
        <f>_xlfn.IFNA(_xlfn.IFNA(_xlfn.IFNA(_xlfn.IFNA(_xlfn.XLOOKUP(C94,お客様データ添付!G:G,お客様データ添付!E:E),_xlfn.XLOOKUP(C94,お客様データ添付!N:N,お客様データ添付!L:L)),_xlfn.XLOOKUP(C94,お客様データ添付!U:U,お客様データ添付!S:S)),_xlfn.XLOOKUP(C94,お客様データ添付!AB:AB,お客様データ添付!Z:Z)),_xlfn.XLOOKUP(C94,お客様データ添付!AI:AI,お客様データ添付!AG:AG))</f>
        <v>335</v>
      </c>
      <c r="B94" t="s">
        <v>1101</v>
      </c>
      <c r="C94" t="s">
        <v>1585</v>
      </c>
      <c r="D94" s="1">
        <f>IF(C94&lt;&gt;"",MATCH(C94,お客様データリスト!$A$2:$MV$2,0),"")</f>
        <v>192</v>
      </c>
      <c r="E94" s="1">
        <f t="shared" ca="1" si="2"/>
        <v>1</v>
      </c>
      <c r="F94" s="1">
        <f>_xlfn.IFNA(VLOOKUP($C94,お客様データ添付!$G:$J,4,FALSE),0)+
_xlfn.IFNA(VLOOKUP($C94,お客様データ添付!$N:$Q,4,FALSE),0)+
_xlfn.IFNA(VLOOKUP($C94,お客様データ添付!$U:$X,4,FALSE),0)+
_xlfn.IFNA(VLOOKUP($C94,お客様データ添付!$AB:$AE,4,FALSE),0)+
_xlfn.IFNA(VLOOKUP($C94,お客様データ添付!$AI:$AL,4,FALSE),0)</f>
        <v>0</v>
      </c>
    </row>
    <row r="95" spans="1:6">
      <c r="A95" s="1">
        <f>_xlfn.IFNA(_xlfn.IFNA(_xlfn.IFNA(_xlfn.IFNA(_xlfn.XLOOKUP(C95,お客様データ添付!G:G,お客様データ添付!E:E),_xlfn.XLOOKUP(C95,お客様データ添付!N:N,お客様データ添付!L:L)),_xlfn.XLOOKUP(C95,お客様データ添付!U:U,お客様データ添付!S:S)),_xlfn.XLOOKUP(C95,お客様データ添付!AB:AB,お客様データ添付!Z:Z)),_xlfn.XLOOKUP(C95,お客様データ添付!AI:AI,お客様データ添付!AG:AG))</f>
        <v>336</v>
      </c>
      <c r="B95" t="s">
        <v>2737</v>
      </c>
      <c r="C95" t="s">
        <v>1586</v>
      </c>
      <c r="D95" s="1">
        <f>IF(C95&lt;&gt;"",MATCH(C95,お客様データリスト!$A$2:$MV$2,0),"")</f>
        <v>194</v>
      </c>
      <c r="E95" s="1">
        <f t="shared" ca="1" si="2"/>
        <v>0</v>
      </c>
      <c r="F95" s="1">
        <f>_xlfn.IFNA(VLOOKUP($C95,お客様データ添付!$G:$J,4,FALSE),0)+
_xlfn.IFNA(VLOOKUP($C95,お客様データ添付!$N:$Q,4,FALSE),0)+
_xlfn.IFNA(VLOOKUP($C95,お客様データ添付!$U:$X,4,FALSE),0)+
_xlfn.IFNA(VLOOKUP($C95,お客様データ添付!$AB:$AE,4,FALSE),0)+
_xlfn.IFNA(VLOOKUP($C95,お客様データ添付!$AI:$AL,4,FALSE),0)</f>
        <v>0</v>
      </c>
    </row>
    <row r="96" spans="1:6">
      <c r="A96" s="1">
        <f>_xlfn.IFNA(_xlfn.IFNA(_xlfn.IFNA(_xlfn.IFNA(_xlfn.XLOOKUP(C96,お客様データ添付!G:G,お客様データ添付!E:E),_xlfn.XLOOKUP(C96,お客様データ添付!N:N,お客様データ添付!L:L)),_xlfn.XLOOKUP(C96,お客様データ添付!U:U,お客様データ添付!S:S)),_xlfn.XLOOKUP(C96,お客様データ添付!AB:AB,お客様データ添付!Z:Z)),_xlfn.XLOOKUP(C96,お客様データ添付!AI:AI,お客様データ添付!AG:AG))</f>
        <v>401</v>
      </c>
      <c r="B96" t="s">
        <v>2740</v>
      </c>
      <c r="C96" t="s">
        <v>1590</v>
      </c>
      <c r="D96" s="1">
        <f>IF(C96&lt;&gt;"",MATCH(C96,お客様データリスト!$A$2:$MV$2,0),"")</f>
        <v>196</v>
      </c>
      <c r="E96" s="1">
        <f t="shared" ca="1" si="2"/>
        <v>1</v>
      </c>
      <c r="F96" s="1">
        <f>_xlfn.IFNA(VLOOKUP($C96,お客様データ添付!$G:$J,4,FALSE),0)+
_xlfn.IFNA(VLOOKUP($C96,お客様データ添付!$N:$Q,4,FALSE),0)+
_xlfn.IFNA(VLOOKUP($C96,お客様データ添付!$U:$X,4,FALSE),0)+
_xlfn.IFNA(VLOOKUP($C96,お客様データ添付!$AB:$AE,4,FALSE),0)+
_xlfn.IFNA(VLOOKUP($C96,お客様データ添付!$AI:$AL,4,FALSE),0)</f>
        <v>0</v>
      </c>
    </row>
    <row r="97" spans="1:6">
      <c r="A97" s="1">
        <f>_xlfn.IFNA(_xlfn.IFNA(_xlfn.IFNA(_xlfn.IFNA(_xlfn.XLOOKUP(C97,お客様データ添付!G:G,お客様データ添付!E:E),_xlfn.XLOOKUP(C97,お客様データ添付!N:N,お客様データ添付!L:L)),_xlfn.XLOOKUP(C97,お客様データ添付!U:U,お客様データ添付!S:S)),_xlfn.XLOOKUP(C97,お客様データ添付!AB:AB,お客様データ添付!Z:Z)),_xlfn.XLOOKUP(C97,お客様データ添付!AI:AI,お客様データ添付!AG:AG))</f>
        <v>402</v>
      </c>
      <c r="B97" t="s">
        <v>2741</v>
      </c>
      <c r="C97" t="s">
        <v>1591</v>
      </c>
      <c r="D97" s="1">
        <f>IF(C97&lt;&gt;"",MATCH(C97,お客様データリスト!$A$2:$MV$2,0),"")</f>
        <v>198</v>
      </c>
      <c r="E97" s="1">
        <f t="shared" ca="1" si="2"/>
        <v>0</v>
      </c>
      <c r="F97" s="1">
        <f>_xlfn.IFNA(VLOOKUP($C97,お客様データ添付!$G:$J,4,FALSE),0)+
_xlfn.IFNA(VLOOKUP($C97,お客様データ添付!$N:$Q,4,FALSE),0)+
_xlfn.IFNA(VLOOKUP($C97,お客様データ添付!$U:$X,4,FALSE),0)+
_xlfn.IFNA(VLOOKUP($C97,お客様データ添付!$AB:$AE,4,FALSE),0)+
_xlfn.IFNA(VLOOKUP($C97,お客様データ添付!$AI:$AL,4,FALSE),0)</f>
        <v>0</v>
      </c>
    </row>
    <row r="98" spans="1:6">
      <c r="A98" s="1">
        <f>_xlfn.IFNA(_xlfn.IFNA(_xlfn.IFNA(_xlfn.IFNA(_xlfn.XLOOKUP(C98,お客様データ添付!G:G,お客様データ添付!E:E),_xlfn.XLOOKUP(C98,お客様データ添付!N:N,お客様データ添付!L:L)),_xlfn.XLOOKUP(C98,お客様データ添付!U:U,お客様データ添付!S:S)),_xlfn.XLOOKUP(C98,お客様データ添付!AB:AB,お客様データ添付!Z:Z)),_xlfn.XLOOKUP(C98,お客様データ添付!AI:AI,お客様データ添付!AG:AG))</f>
        <v>403</v>
      </c>
      <c r="B98" t="s">
        <v>2703</v>
      </c>
      <c r="C98" t="s">
        <v>1592</v>
      </c>
      <c r="D98" s="1">
        <f>IF(C98&lt;&gt;"",MATCH(C98,お客様データリスト!$A$2:$MV$2,0),"")</f>
        <v>200</v>
      </c>
      <c r="E98" s="1">
        <f t="shared" ca="1" si="2"/>
        <v>4</v>
      </c>
      <c r="F98" s="1">
        <f>_xlfn.IFNA(VLOOKUP($C98,お客様データ添付!$G:$J,4,FALSE),0)+
_xlfn.IFNA(VLOOKUP($C98,お客様データ添付!$N:$Q,4,FALSE),0)+
_xlfn.IFNA(VLOOKUP($C98,お客様データ添付!$U:$X,4,FALSE),0)+
_xlfn.IFNA(VLOOKUP($C98,お客様データ添付!$AB:$AE,4,FALSE),0)+
_xlfn.IFNA(VLOOKUP($C98,お客様データ添付!$AI:$AL,4,FALSE),0)</f>
        <v>0</v>
      </c>
    </row>
    <row r="99" spans="1:6">
      <c r="A99" s="1">
        <f>_xlfn.IFNA(_xlfn.IFNA(_xlfn.IFNA(_xlfn.IFNA(_xlfn.XLOOKUP(C99,お客様データ添付!G:G,お客様データ添付!E:E),_xlfn.XLOOKUP(C99,お客様データ添付!N:N,お客様データ添付!L:L)),_xlfn.XLOOKUP(C99,お客様データ添付!U:U,お客様データ添付!S:S)),_xlfn.XLOOKUP(C99,お客様データ添付!AB:AB,お客様データ添付!Z:Z)),_xlfn.XLOOKUP(C99,お客様データ添付!AI:AI,お客様データ添付!AG:AG))</f>
        <v>404</v>
      </c>
      <c r="B99" t="s">
        <v>2742</v>
      </c>
      <c r="C99" t="s">
        <v>1593</v>
      </c>
      <c r="D99" s="1">
        <f>IF(C99&lt;&gt;"",MATCH(C99,お客様データリスト!$A$2:$MV$2,0),"")</f>
        <v>202</v>
      </c>
      <c r="E99" s="1">
        <f t="shared" ca="1" si="2"/>
        <v>1</v>
      </c>
      <c r="F99" s="1">
        <f>_xlfn.IFNA(VLOOKUP($C99,お客様データ添付!$G:$J,4,FALSE),0)+
_xlfn.IFNA(VLOOKUP($C99,お客様データ添付!$N:$Q,4,FALSE),0)+
_xlfn.IFNA(VLOOKUP($C99,お客様データ添付!$U:$X,4,FALSE),0)+
_xlfn.IFNA(VLOOKUP($C99,お客様データ添付!$AB:$AE,4,FALSE),0)+
_xlfn.IFNA(VLOOKUP($C99,お客様データ添付!$AI:$AL,4,FALSE),0)</f>
        <v>0</v>
      </c>
    </row>
    <row r="100" spans="1:6">
      <c r="A100" s="1">
        <f>_xlfn.IFNA(_xlfn.IFNA(_xlfn.IFNA(_xlfn.IFNA(_xlfn.XLOOKUP(C100,お客様データ添付!G:G,お客様データ添付!E:E),_xlfn.XLOOKUP(C100,お客様データ添付!N:N,お客様データ添付!L:L)),_xlfn.XLOOKUP(C100,お客様データ添付!U:U,お客様データ添付!S:S)),_xlfn.XLOOKUP(C100,お客様データ添付!AB:AB,お客様データ添付!Z:Z)),_xlfn.XLOOKUP(C100,お客様データ添付!AI:AI,お客様データ添付!AG:AG))</f>
        <v>406</v>
      </c>
      <c r="B100" t="s">
        <v>2743</v>
      </c>
      <c r="C100" t="s">
        <v>1594</v>
      </c>
      <c r="D100" s="1">
        <f>IF(C100&lt;&gt;"",MATCH(C100,お客様データリスト!$A$2:$MV$2,0),"")</f>
        <v>204</v>
      </c>
      <c r="E100" s="1">
        <f t="shared" ca="1" si="2"/>
        <v>1</v>
      </c>
      <c r="F100" s="1">
        <f>_xlfn.IFNA(VLOOKUP($C100,お客様データ添付!$G:$J,4,FALSE),0)+
_xlfn.IFNA(VLOOKUP($C100,お客様データ添付!$N:$Q,4,FALSE),0)+
_xlfn.IFNA(VLOOKUP($C100,お客様データ添付!$U:$X,4,FALSE),0)+
_xlfn.IFNA(VLOOKUP($C100,お客様データ添付!$AB:$AE,4,FALSE),0)+
_xlfn.IFNA(VLOOKUP($C100,お客様データ添付!$AI:$AL,4,FALSE),0)</f>
        <v>0</v>
      </c>
    </row>
    <row r="101" spans="1:6">
      <c r="A101" s="1">
        <f>_xlfn.IFNA(_xlfn.IFNA(_xlfn.IFNA(_xlfn.IFNA(_xlfn.XLOOKUP(C101,お客様データ添付!G:G,お客様データ添付!E:E),_xlfn.XLOOKUP(C101,お客様データ添付!N:N,お客様データ添付!L:L)),_xlfn.XLOOKUP(C101,お客様データ添付!U:U,お客様データ添付!S:S)),_xlfn.XLOOKUP(C101,お客様データ添付!AB:AB,お客様データ添付!Z:Z)),_xlfn.XLOOKUP(C101,お客様データ添付!AI:AI,お客様データ添付!AG:AG))</f>
        <v>407</v>
      </c>
      <c r="B101" t="s">
        <v>2744</v>
      </c>
      <c r="C101" t="s">
        <v>1595</v>
      </c>
      <c r="D101" s="1">
        <f>IF(C101&lt;&gt;"",MATCH(C101,お客様データリスト!$A$2:$MV$2,0),"")</f>
        <v>206</v>
      </c>
      <c r="E101" s="1">
        <f t="shared" ca="1" si="2"/>
        <v>0</v>
      </c>
      <c r="F101" s="1">
        <f>_xlfn.IFNA(VLOOKUP($C101,お客様データ添付!$G:$J,4,FALSE),0)+
_xlfn.IFNA(VLOOKUP($C101,お客様データ添付!$N:$Q,4,FALSE),0)+
_xlfn.IFNA(VLOOKUP($C101,お客様データ添付!$U:$X,4,FALSE),0)+
_xlfn.IFNA(VLOOKUP($C101,お客様データ添付!$AB:$AE,4,FALSE),0)+
_xlfn.IFNA(VLOOKUP($C101,お客様データ添付!$AI:$AL,4,FALSE),0)</f>
        <v>0</v>
      </c>
    </row>
    <row r="102" spans="1:6">
      <c r="A102" s="1">
        <f>_xlfn.IFNA(_xlfn.IFNA(_xlfn.IFNA(_xlfn.IFNA(_xlfn.XLOOKUP(C102,お客様データ添付!G:G,お客様データ添付!E:E),_xlfn.XLOOKUP(C102,お客様データ添付!N:N,お客様データ添付!L:L)),_xlfn.XLOOKUP(C102,お客様データ添付!U:U,お客様データ添付!S:S)),_xlfn.XLOOKUP(C102,お客様データ添付!AB:AB,お客様データ添付!Z:Z)),_xlfn.XLOOKUP(C102,お客様データ添付!AI:AI,お客様データ添付!AG:AG))</f>
        <v>408</v>
      </c>
      <c r="B102" t="s">
        <v>2745</v>
      </c>
      <c r="C102" t="s">
        <v>1596</v>
      </c>
      <c r="D102" s="1">
        <f>IF(C102&lt;&gt;"",MATCH(C102,お客様データリスト!$A$2:$MV$2,0),"")</f>
        <v>208</v>
      </c>
      <c r="E102" s="1">
        <f t="shared" ca="1" si="2"/>
        <v>0</v>
      </c>
      <c r="F102" s="1">
        <f>_xlfn.IFNA(VLOOKUP($C102,お客様データ添付!$G:$J,4,FALSE),0)+
_xlfn.IFNA(VLOOKUP($C102,お客様データ添付!$N:$Q,4,FALSE),0)+
_xlfn.IFNA(VLOOKUP($C102,お客様データ添付!$U:$X,4,FALSE),0)+
_xlfn.IFNA(VLOOKUP($C102,お客様データ添付!$AB:$AE,4,FALSE),0)+
_xlfn.IFNA(VLOOKUP($C102,お客様データ添付!$AI:$AL,4,FALSE),0)</f>
        <v>0</v>
      </c>
    </row>
    <row r="103" spans="1:6">
      <c r="A103" s="1">
        <f>_xlfn.IFNA(_xlfn.IFNA(_xlfn.IFNA(_xlfn.IFNA(_xlfn.XLOOKUP(C103,お客様データ添付!G:G,お客様データ添付!E:E),_xlfn.XLOOKUP(C103,お客様データ添付!N:N,お客様データ添付!L:L)),_xlfn.XLOOKUP(C103,お客様データ添付!U:U,お客様データ添付!S:S)),_xlfn.XLOOKUP(C103,お客様データ添付!AB:AB,お客様データ添付!Z:Z)),_xlfn.XLOOKUP(C103,お客様データ添付!AI:AI,お客様データ添付!AG:AG))</f>
        <v>409</v>
      </c>
      <c r="B103" t="s">
        <v>2746</v>
      </c>
      <c r="C103" t="s">
        <v>1597</v>
      </c>
      <c r="D103" s="1">
        <f>IF(C103&lt;&gt;"",MATCH(C103,お客様データリスト!$A$2:$MV$2,0),"")</f>
        <v>210</v>
      </c>
      <c r="E103" s="1">
        <f t="shared" ca="1" si="2"/>
        <v>0</v>
      </c>
      <c r="F103" s="1">
        <f>_xlfn.IFNA(VLOOKUP($C103,お客様データ添付!$G:$J,4,FALSE),0)+
_xlfn.IFNA(VLOOKUP($C103,お客様データ添付!$N:$Q,4,FALSE),0)+
_xlfn.IFNA(VLOOKUP($C103,お客様データ添付!$U:$X,4,FALSE),0)+
_xlfn.IFNA(VLOOKUP($C103,お客様データ添付!$AB:$AE,4,FALSE),0)+
_xlfn.IFNA(VLOOKUP($C103,お客様データ添付!$AI:$AL,4,FALSE),0)</f>
        <v>0</v>
      </c>
    </row>
    <row r="104" spans="1:6">
      <c r="A104" s="1">
        <f>_xlfn.IFNA(_xlfn.IFNA(_xlfn.IFNA(_xlfn.IFNA(_xlfn.XLOOKUP(C104,お客様データ添付!G:G,お客様データ添付!E:E),_xlfn.XLOOKUP(C104,お客様データ添付!N:N,お客様データ添付!L:L)),_xlfn.XLOOKUP(C104,お客様データ添付!U:U,お客様データ添付!S:S)),_xlfn.XLOOKUP(C104,お客様データ添付!AB:AB,お客様データ添付!Z:Z)),_xlfn.XLOOKUP(C104,お客様データ添付!AI:AI,お客様データ添付!AG:AG))</f>
        <v>410</v>
      </c>
      <c r="B104" t="s">
        <v>2748</v>
      </c>
      <c r="C104" t="s">
        <v>1599</v>
      </c>
      <c r="D104" s="1">
        <f>IF(C104&lt;&gt;"",MATCH(C104,お客様データリスト!$A$2:$MV$2,0),"")</f>
        <v>212</v>
      </c>
      <c r="E104" s="1">
        <f t="shared" ca="1" si="2"/>
        <v>2</v>
      </c>
      <c r="F104" s="1">
        <f>_xlfn.IFNA(VLOOKUP($C104,お客様データ添付!$G:$J,4,FALSE),0)+
_xlfn.IFNA(VLOOKUP($C104,お客様データ添付!$N:$Q,4,FALSE),0)+
_xlfn.IFNA(VLOOKUP($C104,お客様データ添付!$U:$X,4,FALSE),0)+
_xlfn.IFNA(VLOOKUP($C104,お客様データ添付!$AB:$AE,4,FALSE),0)+
_xlfn.IFNA(VLOOKUP($C104,お客様データ添付!$AI:$AL,4,FALSE),0)</f>
        <v>0</v>
      </c>
    </row>
    <row r="105" spans="1:6">
      <c r="A105" s="1">
        <f>_xlfn.IFNA(_xlfn.IFNA(_xlfn.IFNA(_xlfn.IFNA(_xlfn.XLOOKUP(C105,お客様データ添付!G:G,お客様データ添付!E:E),_xlfn.XLOOKUP(C105,お客様データ添付!N:N,お客様データ添付!L:L)),_xlfn.XLOOKUP(C105,お客様データ添付!U:U,お客様データ添付!S:S)),_xlfn.XLOOKUP(C105,お客様データ添付!AB:AB,お客様データ添付!Z:Z)),_xlfn.XLOOKUP(C105,お客様データ添付!AI:AI,お客様データ添付!AG:AG))</f>
        <v>411</v>
      </c>
      <c r="B105" t="s">
        <v>2749</v>
      </c>
      <c r="C105" t="s">
        <v>1600</v>
      </c>
      <c r="D105" s="1">
        <f>IF(C105&lt;&gt;"",MATCH(C105,お客様データリスト!$A$2:$MV$2,0),"")</f>
        <v>214</v>
      </c>
      <c r="E105" s="1">
        <f t="shared" ca="1" si="2"/>
        <v>7</v>
      </c>
      <c r="F105" s="1">
        <f>_xlfn.IFNA(VLOOKUP($C105,お客様データ添付!$G:$J,4,FALSE),0)+
_xlfn.IFNA(VLOOKUP($C105,お客様データ添付!$N:$Q,4,FALSE),0)+
_xlfn.IFNA(VLOOKUP($C105,お客様データ添付!$U:$X,4,FALSE),0)+
_xlfn.IFNA(VLOOKUP($C105,お客様データ添付!$AB:$AE,4,FALSE),0)+
_xlfn.IFNA(VLOOKUP($C105,お客様データ添付!$AI:$AL,4,FALSE),0)</f>
        <v>0</v>
      </c>
    </row>
    <row r="106" spans="1:6">
      <c r="A106" s="1">
        <f>_xlfn.IFNA(_xlfn.IFNA(_xlfn.IFNA(_xlfn.IFNA(_xlfn.XLOOKUP(C106,お客様データ添付!G:G,お客様データ添付!E:E),_xlfn.XLOOKUP(C106,お客様データ添付!N:N,お客様データ添付!L:L)),_xlfn.XLOOKUP(C106,お客様データ添付!U:U,お客様データ添付!S:S)),_xlfn.XLOOKUP(C106,お客様データ添付!AB:AB,お客様データ添付!Z:Z)),_xlfn.XLOOKUP(C106,お客様データ添付!AI:AI,お客様データ添付!AG:AG))</f>
        <v>412</v>
      </c>
      <c r="B106" t="s">
        <v>2750</v>
      </c>
      <c r="C106" t="s">
        <v>1601</v>
      </c>
      <c r="D106" s="1">
        <f>IF(C106&lt;&gt;"",MATCH(C106,お客様データリスト!$A$2:$MV$2,0),"")</f>
        <v>216</v>
      </c>
      <c r="E106" s="1">
        <f t="shared" ca="1" si="2"/>
        <v>5</v>
      </c>
      <c r="F106" s="1">
        <f>_xlfn.IFNA(VLOOKUP($C106,お客様データ添付!$G:$J,4,FALSE),0)+
_xlfn.IFNA(VLOOKUP($C106,お客様データ添付!$N:$Q,4,FALSE),0)+
_xlfn.IFNA(VLOOKUP($C106,お客様データ添付!$U:$X,4,FALSE),0)+
_xlfn.IFNA(VLOOKUP($C106,お客様データ添付!$AB:$AE,4,FALSE),0)+
_xlfn.IFNA(VLOOKUP($C106,お客様データ添付!$AI:$AL,4,FALSE),0)</f>
        <v>0</v>
      </c>
    </row>
    <row r="107" spans="1:6">
      <c r="A107" s="1">
        <f>_xlfn.IFNA(_xlfn.IFNA(_xlfn.IFNA(_xlfn.IFNA(_xlfn.XLOOKUP(C107,お客様データ添付!G:G,お客様データ添付!E:E),_xlfn.XLOOKUP(C107,お客様データ添付!N:N,お客様データ添付!L:L)),_xlfn.XLOOKUP(C107,お客様データ添付!U:U,お客様データ添付!S:S)),_xlfn.XLOOKUP(C107,お客様データ添付!AB:AB,お客様データ添付!Z:Z)),_xlfn.XLOOKUP(C107,お客様データ添付!AI:AI,お客様データ添付!AG:AG))</f>
        <v>413</v>
      </c>
      <c r="B107" t="s">
        <v>2751</v>
      </c>
      <c r="C107" t="s">
        <v>1602</v>
      </c>
      <c r="D107" s="1">
        <f>IF(C107&lt;&gt;"",MATCH(C107,お客様データリスト!$A$2:$MV$2,0),"")</f>
        <v>218</v>
      </c>
      <c r="E107" s="1">
        <f t="shared" ca="1" si="2"/>
        <v>2</v>
      </c>
      <c r="F107" s="1">
        <f>_xlfn.IFNA(VLOOKUP($C107,お客様データ添付!$G:$J,4,FALSE),0)+
_xlfn.IFNA(VLOOKUP($C107,お客様データ添付!$N:$Q,4,FALSE),0)+
_xlfn.IFNA(VLOOKUP($C107,お客様データ添付!$U:$X,4,FALSE),0)+
_xlfn.IFNA(VLOOKUP($C107,お客様データ添付!$AB:$AE,4,FALSE),0)+
_xlfn.IFNA(VLOOKUP($C107,お客様データ添付!$AI:$AL,4,FALSE),0)</f>
        <v>0</v>
      </c>
    </row>
    <row r="108" spans="1:6">
      <c r="A108" s="1">
        <f>_xlfn.IFNA(_xlfn.IFNA(_xlfn.IFNA(_xlfn.IFNA(_xlfn.XLOOKUP(C108,お客様データ添付!G:G,お客様データ添付!E:E),_xlfn.XLOOKUP(C108,お客様データ添付!N:N,お客様データ添付!L:L)),_xlfn.XLOOKUP(C108,お客様データ添付!U:U,お客様データ添付!S:S)),_xlfn.XLOOKUP(C108,お客様データ添付!AB:AB,お客様データ添付!Z:Z)),_xlfn.XLOOKUP(C108,お客様データ添付!AI:AI,お客様データ添付!AG:AG))</f>
        <v>414</v>
      </c>
      <c r="B108" t="s">
        <v>2752</v>
      </c>
      <c r="C108" t="s">
        <v>1603</v>
      </c>
      <c r="D108" s="1">
        <f>IF(C108&lt;&gt;"",MATCH(C108,お客様データリスト!$A$2:$MV$2,0),"")</f>
        <v>220</v>
      </c>
      <c r="E108" s="1">
        <f t="shared" ca="1" si="2"/>
        <v>15</v>
      </c>
      <c r="F108" s="1">
        <f>_xlfn.IFNA(VLOOKUP($C108,お客様データ添付!$G:$J,4,FALSE),0)+
_xlfn.IFNA(VLOOKUP($C108,お客様データ添付!$N:$Q,4,FALSE),0)+
_xlfn.IFNA(VLOOKUP($C108,お客様データ添付!$U:$X,4,FALSE),0)+
_xlfn.IFNA(VLOOKUP($C108,お客様データ添付!$AB:$AE,4,FALSE),0)+
_xlfn.IFNA(VLOOKUP($C108,お客様データ添付!$AI:$AL,4,FALSE),0)</f>
        <v>0</v>
      </c>
    </row>
    <row r="109" spans="1:6">
      <c r="A109" s="1">
        <f>_xlfn.IFNA(_xlfn.IFNA(_xlfn.IFNA(_xlfn.IFNA(_xlfn.XLOOKUP(C109,お客様データ添付!G:G,お客様データ添付!E:E),_xlfn.XLOOKUP(C109,お客様データ添付!N:N,お客様データ添付!L:L)),_xlfn.XLOOKUP(C109,お客様データ添付!U:U,お客様データ添付!S:S)),_xlfn.XLOOKUP(C109,お客様データ添付!AB:AB,お客様データ添付!Z:Z)),_xlfn.XLOOKUP(C109,お客様データ添付!AI:AI,お客様データ添付!AG:AG))</f>
        <v>415</v>
      </c>
      <c r="B109" t="s">
        <v>2754</v>
      </c>
      <c r="C109" t="s">
        <v>1604</v>
      </c>
      <c r="D109" s="1">
        <f>IF(C109&lt;&gt;"",MATCH(C109,お客様データリスト!$A$2:$MV$2,0),"")</f>
        <v>222</v>
      </c>
      <c r="E109" s="1">
        <f t="shared" ca="1" si="2"/>
        <v>0</v>
      </c>
      <c r="F109" s="1">
        <f>_xlfn.IFNA(VLOOKUP($C109,お客様データ添付!$G:$J,4,FALSE),0)+
_xlfn.IFNA(VLOOKUP($C109,お客様データ添付!$N:$Q,4,FALSE),0)+
_xlfn.IFNA(VLOOKUP($C109,お客様データ添付!$U:$X,4,FALSE),0)+
_xlfn.IFNA(VLOOKUP($C109,お客様データ添付!$AB:$AE,4,FALSE),0)+
_xlfn.IFNA(VLOOKUP($C109,お客様データ添付!$AI:$AL,4,FALSE),0)</f>
        <v>0</v>
      </c>
    </row>
    <row r="110" spans="1:6">
      <c r="A110" s="1">
        <f>_xlfn.IFNA(_xlfn.IFNA(_xlfn.IFNA(_xlfn.IFNA(_xlfn.XLOOKUP(C110,お客様データ添付!G:G,お客様データ添付!E:E),_xlfn.XLOOKUP(C110,お客様データ添付!N:N,お客様データ添付!L:L)),_xlfn.XLOOKUP(C110,お客様データ添付!U:U,お客様データ添付!S:S)),_xlfn.XLOOKUP(C110,お客様データ添付!AB:AB,お客様データ添付!Z:Z)),_xlfn.XLOOKUP(C110,お客様データ添付!AI:AI,お客様データ添付!AG:AG))</f>
        <v>416</v>
      </c>
      <c r="B110" t="s">
        <v>2755</v>
      </c>
      <c r="C110" t="s">
        <v>1605</v>
      </c>
      <c r="D110" s="1">
        <f>IF(C110&lt;&gt;"",MATCH(C110,お客様データリスト!$A$2:$MV$2,0),"")</f>
        <v>224</v>
      </c>
      <c r="E110" s="1">
        <f t="shared" ca="1" si="2"/>
        <v>0</v>
      </c>
      <c r="F110" s="1">
        <f>_xlfn.IFNA(VLOOKUP($C110,お客様データ添付!$G:$J,4,FALSE),0)+
_xlfn.IFNA(VLOOKUP($C110,お客様データ添付!$N:$Q,4,FALSE),0)+
_xlfn.IFNA(VLOOKUP($C110,お客様データ添付!$U:$X,4,FALSE),0)+
_xlfn.IFNA(VLOOKUP($C110,お客様データ添付!$AB:$AE,4,FALSE),0)+
_xlfn.IFNA(VLOOKUP($C110,お客様データ添付!$AI:$AL,4,FALSE),0)</f>
        <v>0</v>
      </c>
    </row>
    <row r="111" spans="1:6">
      <c r="A111" s="1">
        <f>_xlfn.IFNA(_xlfn.IFNA(_xlfn.IFNA(_xlfn.IFNA(_xlfn.XLOOKUP(C111,お客様データ添付!G:G,お客様データ添付!E:E),_xlfn.XLOOKUP(C111,お客様データ添付!N:N,お客様データ添付!L:L)),_xlfn.XLOOKUP(C111,お客様データ添付!U:U,お客様データ添付!S:S)),_xlfn.XLOOKUP(C111,お客様データ添付!AB:AB,お客様データ添付!Z:Z)),_xlfn.XLOOKUP(C111,お客様データ添付!AI:AI,お客様データ添付!AG:AG))</f>
        <v>417</v>
      </c>
      <c r="B111" t="s">
        <v>2756</v>
      </c>
      <c r="C111" t="s">
        <v>1606</v>
      </c>
      <c r="D111" s="1">
        <f>IF(C111&lt;&gt;"",MATCH(C111,お客様データリスト!$A$2:$MV$2,0),"")</f>
        <v>226</v>
      </c>
      <c r="E111" s="1">
        <f t="shared" ca="1" si="2"/>
        <v>0</v>
      </c>
      <c r="F111" s="1">
        <f>_xlfn.IFNA(VLOOKUP($C111,お客様データ添付!$G:$J,4,FALSE),0)+
_xlfn.IFNA(VLOOKUP($C111,お客様データ添付!$N:$Q,4,FALSE),0)+
_xlfn.IFNA(VLOOKUP($C111,お客様データ添付!$U:$X,4,FALSE),0)+
_xlfn.IFNA(VLOOKUP($C111,お客様データ添付!$AB:$AE,4,FALSE),0)+
_xlfn.IFNA(VLOOKUP($C111,お客様データ添付!$AI:$AL,4,FALSE),0)</f>
        <v>0</v>
      </c>
    </row>
    <row r="112" spans="1:6">
      <c r="A112" s="1">
        <f>_xlfn.IFNA(_xlfn.IFNA(_xlfn.IFNA(_xlfn.IFNA(_xlfn.XLOOKUP(C112,お客様データ添付!G:G,お客様データ添付!E:E),_xlfn.XLOOKUP(C112,お客様データ添付!N:N,お客様データ添付!L:L)),_xlfn.XLOOKUP(C112,お客様データ添付!U:U,お客様データ添付!S:S)),_xlfn.XLOOKUP(C112,お客様データ添付!AB:AB,お客様データ添付!Z:Z)),_xlfn.XLOOKUP(C112,お客様データ添付!AI:AI,お客様データ添付!AG:AG))</f>
        <v>418</v>
      </c>
      <c r="B112" t="s">
        <v>2757</v>
      </c>
      <c r="C112" t="s">
        <v>1607</v>
      </c>
      <c r="D112" s="1">
        <f>IF(C112&lt;&gt;"",MATCH(C112,お客様データリスト!$A$2:$MV$2,0),"")</f>
        <v>228</v>
      </c>
      <c r="E112" s="1">
        <f t="shared" ca="1" si="2"/>
        <v>0</v>
      </c>
      <c r="F112" s="1">
        <f>_xlfn.IFNA(VLOOKUP($C112,お客様データ添付!$G:$J,4,FALSE),0)+
_xlfn.IFNA(VLOOKUP($C112,お客様データ添付!$N:$Q,4,FALSE),0)+
_xlfn.IFNA(VLOOKUP($C112,お客様データ添付!$U:$X,4,FALSE),0)+
_xlfn.IFNA(VLOOKUP($C112,お客様データ添付!$AB:$AE,4,FALSE),0)+
_xlfn.IFNA(VLOOKUP($C112,お客様データ添付!$AI:$AL,4,FALSE),0)</f>
        <v>0</v>
      </c>
    </row>
    <row r="113" spans="1:6">
      <c r="A113" s="1">
        <f>_xlfn.IFNA(_xlfn.IFNA(_xlfn.IFNA(_xlfn.IFNA(_xlfn.XLOOKUP(C113,お客様データ添付!G:G,お客様データ添付!E:E),_xlfn.XLOOKUP(C113,お客様データ添付!N:N,お客様データ添付!L:L)),_xlfn.XLOOKUP(C113,お客様データ添付!U:U,お客様データ添付!S:S)),_xlfn.XLOOKUP(C113,お客様データ添付!AB:AB,お客様データ添付!Z:Z)),_xlfn.XLOOKUP(C113,お客様データ添付!AI:AI,お客様データ添付!AG:AG))</f>
        <v>405</v>
      </c>
      <c r="B113" t="s">
        <v>3946</v>
      </c>
      <c r="C113" t="s">
        <v>1608</v>
      </c>
      <c r="D113" s="1">
        <f>IF(C113&lt;&gt;"",MATCH(C113,お客様データリスト!$A$2:$MV$2,0),"")</f>
        <v>230</v>
      </c>
      <c r="E113" s="1">
        <f t="shared" ref="E113" ca="1" si="3">COUNTA(INDIRECT("R4C"&amp;D113&amp;":R1000C"&amp;D113,FALSE))</f>
        <v>0</v>
      </c>
      <c r="F113" s="1">
        <f>_xlfn.IFNA(VLOOKUP($C113,お客様データ添付!$G:$J,4,FALSE),0)+
_xlfn.IFNA(VLOOKUP($C113,お客様データ添付!$N:$Q,4,FALSE),0)+
_xlfn.IFNA(VLOOKUP($C113,お客様データ添付!$U:$X,4,FALSE),0)+
_xlfn.IFNA(VLOOKUP($C113,お客様データ添付!$AB:$AE,4,FALSE),0)+
_xlfn.IFNA(VLOOKUP($C113,お客様データ添付!$AI:$AL,4,FALSE),0)</f>
        <v>0</v>
      </c>
    </row>
    <row r="114" spans="1:6">
      <c r="A114" s="1">
        <f>_xlfn.IFNA(_xlfn.IFNA(_xlfn.IFNA(_xlfn.IFNA(_xlfn.XLOOKUP(C114,お客様データ添付!G:G,お客様データ添付!E:E),_xlfn.XLOOKUP(C114,お客様データ添付!N:N,お客様データ添付!L:L)),_xlfn.XLOOKUP(C114,お客様データ添付!U:U,お客様データ添付!S:S)),_xlfn.XLOOKUP(C114,お客様データ添付!AB:AB,お客様データ添付!Z:Z)),_xlfn.XLOOKUP(C114,お客様データ添付!AI:AI,お客様データ添付!AG:AG))</f>
        <v>419</v>
      </c>
      <c r="B114" t="s">
        <v>2759</v>
      </c>
      <c r="C114" t="s">
        <v>1610</v>
      </c>
      <c r="D114" s="1">
        <f>IF(C114&lt;&gt;"",MATCH(C114,お客様データリスト!$A$2:$MV$2,0),"")</f>
        <v>232</v>
      </c>
      <c r="E114" s="1">
        <f t="shared" ca="1" si="2"/>
        <v>0</v>
      </c>
      <c r="F114" s="1">
        <f>_xlfn.IFNA(VLOOKUP($C114,お客様データ添付!$G:$J,4,FALSE),0)+
_xlfn.IFNA(VLOOKUP($C114,お客様データ添付!$N:$Q,4,FALSE),0)+
_xlfn.IFNA(VLOOKUP($C114,お客様データ添付!$U:$X,4,FALSE),0)+
_xlfn.IFNA(VLOOKUP($C114,お客様データ添付!$AB:$AE,4,FALSE),0)+
_xlfn.IFNA(VLOOKUP($C114,お客様データ添付!$AI:$AL,4,FALSE),0)</f>
        <v>0</v>
      </c>
    </row>
    <row r="115" spans="1:6">
      <c r="A115" s="1">
        <f>_xlfn.IFNA(_xlfn.IFNA(_xlfn.IFNA(_xlfn.IFNA(_xlfn.XLOOKUP(C115,お客様データ添付!G:G,お客様データ添付!E:E),_xlfn.XLOOKUP(C115,お客様データ添付!N:N,お客様データ添付!L:L)),_xlfn.XLOOKUP(C115,お客様データ添付!U:U,お客様データ添付!S:S)),_xlfn.XLOOKUP(C115,お客様データ添付!AB:AB,お客様データ添付!Z:Z)),_xlfn.XLOOKUP(C115,お客様データ添付!AI:AI,お客様データ添付!AG:AG))</f>
        <v>420</v>
      </c>
      <c r="B115" t="s">
        <v>2760</v>
      </c>
      <c r="C115" t="s">
        <v>1611</v>
      </c>
      <c r="D115" s="1">
        <f>IF(C115&lt;&gt;"",MATCH(C115,お客様データリスト!$A$2:$MV$2,0),"")</f>
        <v>234</v>
      </c>
      <c r="E115" s="1">
        <f t="shared" ca="1" si="2"/>
        <v>0</v>
      </c>
      <c r="F115" s="1">
        <f>_xlfn.IFNA(VLOOKUP($C115,お客様データ添付!$G:$J,4,FALSE),0)+
_xlfn.IFNA(VLOOKUP($C115,お客様データ添付!$N:$Q,4,FALSE),0)+
_xlfn.IFNA(VLOOKUP($C115,お客様データ添付!$U:$X,4,FALSE),0)+
_xlfn.IFNA(VLOOKUP($C115,お客様データ添付!$AB:$AE,4,FALSE),0)+
_xlfn.IFNA(VLOOKUP($C115,お客様データ添付!$AI:$AL,4,FALSE),0)</f>
        <v>0</v>
      </c>
    </row>
    <row r="116" spans="1:6">
      <c r="A116" s="1">
        <f>_xlfn.IFNA(_xlfn.IFNA(_xlfn.IFNA(_xlfn.IFNA(_xlfn.XLOOKUP(C116,お客様データ添付!G:G,お客様データ添付!E:E),_xlfn.XLOOKUP(C116,お客様データ添付!N:N,お客様データ添付!L:L)),_xlfn.XLOOKUP(C116,お客様データ添付!U:U,お客様データ添付!S:S)),_xlfn.XLOOKUP(C116,お客様データ添付!AB:AB,お客様データ添付!Z:Z)),_xlfn.XLOOKUP(C116,お客様データ添付!AI:AI,お客様データ添付!AG:AG))</f>
        <v>421</v>
      </c>
      <c r="B116" t="s">
        <v>2754</v>
      </c>
      <c r="C116" t="s">
        <v>1615</v>
      </c>
      <c r="D116" s="1">
        <f>IF(C116&lt;&gt;"",MATCH(C116,お客様データリスト!$A$2:$MV$2,0),"")</f>
        <v>236</v>
      </c>
      <c r="E116" s="1">
        <f t="shared" ca="1" si="2"/>
        <v>1</v>
      </c>
      <c r="F116" s="1">
        <f>_xlfn.IFNA(VLOOKUP($C116,お客様データ添付!$G:$J,4,FALSE),0)+
_xlfn.IFNA(VLOOKUP($C116,お客様データ添付!$N:$Q,4,FALSE),0)+
_xlfn.IFNA(VLOOKUP($C116,お客様データ添付!$U:$X,4,FALSE),0)+
_xlfn.IFNA(VLOOKUP($C116,お客様データ添付!$AB:$AE,4,FALSE),0)+
_xlfn.IFNA(VLOOKUP($C116,お客様データ添付!$AI:$AL,4,FALSE),0)</f>
        <v>0</v>
      </c>
    </row>
    <row r="117" spans="1:6">
      <c r="A117" s="1">
        <f>_xlfn.IFNA(_xlfn.IFNA(_xlfn.IFNA(_xlfn.IFNA(_xlfn.XLOOKUP(C117,お客様データ添付!G:G,お客様データ添付!E:E),_xlfn.XLOOKUP(C117,お客様データ添付!N:N,お客様データ添付!L:L)),_xlfn.XLOOKUP(C117,お客様データ添付!U:U,お客様データ添付!S:S)),_xlfn.XLOOKUP(C117,お客様データ添付!AB:AB,お客様データ添付!Z:Z)),_xlfn.XLOOKUP(C117,お客様データ添付!AI:AI,お客様データ添付!AG:AG))</f>
        <v>422</v>
      </c>
      <c r="B117" t="s">
        <v>2755</v>
      </c>
      <c r="C117" t="s">
        <v>1616</v>
      </c>
      <c r="D117" s="1">
        <f>IF(C117&lt;&gt;"",MATCH(C117,お客様データリスト!$A$2:$MV$2,0),"")</f>
        <v>238</v>
      </c>
      <c r="E117" s="1">
        <f t="shared" ca="1" si="2"/>
        <v>3</v>
      </c>
      <c r="F117" s="1">
        <f>_xlfn.IFNA(VLOOKUP($C117,お客様データ添付!$G:$J,4,FALSE),0)+
_xlfn.IFNA(VLOOKUP($C117,お客様データ添付!$N:$Q,4,FALSE),0)+
_xlfn.IFNA(VLOOKUP($C117,お客様データ添付!$U:$X,4,FALSE),0)+
_xlfn.IFNA(VLOOKUP($C117,お客様データ添付!$AB:$AE,4,FALSE),0)+
_xlfn.IFNA(VLOOKUP($C117,お客様データ添付!$AI:$AL,4,FALSE),0)</f>
        <v>0</v>
      </c>
    </row>
    <row r="118" spans="1:6">
      <c r="A118" s="1">
        <f>_xlfn.IFNA(_xlfn.IFNA(_xlfn.IFNA(_xlfn.IFNA(_xlfn.XLOOKUP(C118,お客様データ添付!G:G,お客様データ添付!E:E),_xlfn.XLOOKUP(C118,お客様データ添付!N:N,お客様データ添付!L:L)),_xlfn.XLOOKUP(C118,お客様データ添付!U:U,お客様データ添付!S:S)),_xlfn.XLOOKUP(C118,お客様データ添付!AB:AB,お客様データ添付!Z:Z)),_xlfn.XLOOKUP(C118,お客様データ添付!AI:AI,お客様データ添付!AG:AG))</f>
        <v>423</v>
      </c>
      <c r="B118" t="s">
        <v>2762</v>
      </c>
      <c r="C118" t="s">
        <v>1617</v>
      </c>
      <c r="D118" s="1">
        <f>IF(C118&lt;&gt;"",MATCH(C118,お客様データリスト!$A$2:$MV$2,0),"")</f>
        <v>240</v>
      </c>
      <c r="E118" s="1">
        <f t="shared" ca="1" si="2"/>
        <v>1</v>
      </c>
      <c r="F118" s="1">
        <f>_xlfn.IFNA(VLOOKUP($C118,お客様データ添付!$G:$J,4,FALSE),0)+
_xlfn.IFNA(VLOOKUP($C118,お客様データ添付!$N:$Q,4,FALSE),0)+
_xlfn.IFNA(VLOOKUP($C118,お客様データ添付!$U:$X,4,FALSE),0)+
_xlfn.IFNA(VLOOKUP($C118,お客様データ添付!$AB:$AE,4,FALSE),0)+
_xlfn.IFNA(VLOOKUP($C118,お客様データ添付!$AI:$AL,4,FALSE),0)</f>
        <v>0</v>
      </c>
    </row>
    <row r="119" spans="1:6">
      <c r="A119" s="1">
        <f>_xlfn.IFNA(_xlfn.IFNA(_xlfn.IFNA(_xlfn.IFNA(_xlfn.XLOOKUP(C119,お客様データ添付!G:G,お客様データ添付!E:E),_xlfn.XLOOKUP(C119,お客様データ添付!N:N,お客様データ添付!L:L)),_xlfn.XLOOKUP(C119,お客様データ添付!U:U,お客様データ添付!S:S)),_xlfn.XLOOKUP(C119,お客様データ添付!AB:AB,お客様データ添付!Z:Z)),_xlfn.XLOOKUP(C119,お客様データ添付!AI:AI,お客様データ添付!AG:AG))</f>
        <v>424</v>
      </c>
      <c r="B119" t="s">
        <v>2757</v>
      </c>
      <c r="C119" t="s">
        <v>1618</v>
      </c>
      <c r="D119" s="1">
        <f>IF(C119&lt;&gt;"",MATCH(C119,お客様データリスト!$A$2:$MV$2,0),"")</f>
        <v>242</v>
      </c>
      <c r="E119" s="1">
        <f t="shared" ca="1" si="2"/>
        <v>1</v>
      </c>
      <c r="F119" s="1">
        <f>_xlfn.IFNA(VLOOKUP($C119,お客様データ添付!$G:$J,4,FALSE),0)+
_xlfn.IFNA(VLOOKUP($C119,お客様データ添付!$N:$Q,4,FALSE),0)+
_xlfn.IFNA(VLOOKUP($C119,お客様データ添付!$U:$X,4,FALSE),0)+
_xlfn.IFNA(VLOOKUP($C119,お客様データ添付!$AB:$AE,4,FALSE),0)+
_xlfn.IFNA(VLOOKUP($C119,お客様データ添付!$AI:$AL,4,FALSE),0)</f>
        <v>0</v>
      </c>
    </row>
    <row r="120" spans="1:6">
      <c r="A120" s="1">
        <f>_xlfn.IFNA(_xlfn.IFNA(_xlfn.IFNA(_xlfn.IFNA(_xlfn.XLOOKUP(C120,お客様データ添付!G:G,お客様データ添付!E:E),_xlfn.XLOOKUP(C120,お客様データ添付!N:N,お客様データ添付!L:L)),_xlfn.XLOOKUP(C120,お客様データ添付!U:U,お客様データ添付!S:S)),_xlfn.XLOOKUP(C120,お客様データ添付!AB:AB,お客様データ添付!Z:Z)),_xlfn.XLOOKUP(C120,お客様データ添付!AI:AI,お客様データ添付!AG:AG))</f>
        <v>425</v>
      </c>
      <c r="B120" t="s">
        <v>2765</v>
      </c>
      <c r="C120" t="s">
        <v>1622</v>
      </c>
      <c r="D120" s="1">
        <f>IF(C120&lt;&gt;"",MATCH(C120,お客様データリスト!$A$2:$MV$2,0),"")</f>
        <v>244</v>
      </c>
      <c r="E120" s="1">
        <f t="shared" ca="1" si="2"/>
        <v>6</v>
      </c>
      <c r="F120" s="1">
        <f>_xlfn.IFNA(VLOOKUP($C120,お客様データ添付!$G:$J,4,FALSE),0)+
_xlfn.IFNA(VLOOKUP($C120,お客様データ添付!$N:$Q,4,FALSE),0)+
_xlfn.IFNA(VLOOKUP($C120,お客様データ添付!$U:$X,4,FALSE),0)+
_xlfn.IFNA(VLOOKUP($C120,お客様データ添付!$AB:$AE,4,FALSE),0)+
_xlfn.IFNA(VLOOKUP($C120,お客様データ添付!$AI:$AL,4,FALSE),0)</f>
        <v>1</v>
      </c>
    </row>
    <row r="121" spans="1:6">
      <c r="A121" s="1">
        <f>_xlfn.IFNA(_xlfn.IFNA(_xlfn.IFNA(_xlfn.IFNA(_xlfn.XLOOKUP(C121,お客様データ添付!G:G,お客様データ添付!E:E),_xlfn.XLOOKUP(C121,お客様データ添付!N:N,お客様データ添付!L:L)),_xlfn.XLOOKUP(C121,お客様データ添付!U:U,お客様データ添付!S:S)),_xlfn.XLOOKUP(C121,お客様データ添付!AB:AB,お客様データ添付!Z:Z)),_xlfn.XLOOKUP(C121,お客様データ添付!AI:AI,お客様データ添付!AG:AG))</f>
        <v>426</v>
      </c>
      <c r="B121" t="s">
        <v>2766</v>
      </c>
      <c r="C121" t="s">
        <v>1623</v>
      </c>
      <c r="D121" s="1">
        <f>IF(C121&lt;&gt;"",MATCH(C121,お客様データリスト!$A$2:$MV$2,0),"")</f>
        <v>246</v>
      </c>
      <c r="E121" s="1">
        <f t="shared" ca="1" si="2"/>
        <v>6</v>
      </c>
      <c r="F121" s="1">
        <f>_xlfn.IFNA(VLOOKUP($C121,お客様データ添付!$G:$J,4,FALSE),0)+
_xlfn.IFNA(VLOOKUP($C121,お客様データ添付!$N:$Q,4,FALSE),0)+
_xlfn.IFNA(VLOOKUP($C121,お客様データ添付!$U:$X,4,FALSE),0)+
_xlfn.IFNA(VLOOKUP($C121,お客様データ添付!$AB:$AE,4,FALSE),0)+
_xlfn.IFNA(VLOOKUP($C121,お客様データ添付!$AI:$AL,4,FALSE),0)</f>
        <v>0</v>
      </c>
    </row>
    <row r="122" spans="1:6">
      <c r="A122" s="1">
        <f>_xlfn.IFNA(_xlfn.IFNA(_xlfn.IFNA(_xlfn.IFNA(_xlfn.XLOOKUP(C122,お客様データ添付!G:G,お客様データ添付!E:E),_xlfn.XLOOKUP(C122,お客様データ添付!N:N,お客様データ添付!L:L)),_xlfn.XLOOKUP(C122,お客様データ添付!U:U,お客様データ添付!S:S)),_xlfn.XLOOKUP(C122,お客様データ添付!AB:AB,お客様データ添付!Z:Z)),_xlfn.XLOOKUP(C122,お客様データ添付!AI:AI,お客様データ添付!AG:AG))</f>
        <v>427</v>
      </c>
      <c r="B122" t="s">
        <v>2767</v>
      </c>
      <c r="C122" t="s">
        <v>1624</v>
      </c>
      <c r="D122" s="1">
        <f>IF(C122&lt;&gt;"",MATCH(C122,お客様データリスト!$A$2:$MV$2,0),"")</f>
        <v>248</v>
      </c>
      <c r="E122" s="1">
        <f t="shared" ca="1" si="2"/>
        <v>5</v>
      </c>
      <c r="F122" s="1">
        <f>_xlfn.IFNA(VLOOKUP($C122,お客様データ添付!$G:$J,4,FALSE),0)+
_xlfn.IFNA(VLOOKUP($C122,お客様データ添付!$N:$Q,4,FALSE),0)+
_xlfn.IFNA(VLOOKUP($C122,お客様データ添付!$U:$X,4,FALSE),0)+
_xlfn.IFNA(VLOOKUP($C122,お客様データ添付!$AB:$AE,4,FALSE),0)+
_xlfn.IFNA(VLOOKUP($C122,お客様データ添付!$AI:$AL,4,FALSE),0)</f>
        <v>0</v>
      </c>
    </row>
    <row r="123" spans="1:6">
      <c r="A123" s="1">
        <f>_xlfn.IFNA(_xlfn.IFNA(_xlfn.IFNA(_xlfn.IFNA(_xlfn.XLOOKUP(C123,お客様データ添付!G:G,お客様データ添付!E:E),_xlfn.XLOOKUP(C123,お客様データ添付!N:N,お客様データ添付!L:L)),_xlfn.XLOOKUP(C123,お客様データ添付!U:U,お客様データ添付!S:S)),_xlfn.XLOOKUP(C123,お客様データ添付!AB:AB,お客様データ添付!Z:Z)),_xlfn.XLOOKUP(C123,お客様データ添付!AI:AI,お客様データ添付!AG:AG))</f>
        <v>428</v>
      </c>
      <c r="B123" t="s">
        <v>2768</v>
      </c>
      <c r="C123" t="s">
        <v>1625</v>
      </c>
      <c r="D123" s="1">
        <f>IF(C123&lt;&gt;"",MATCH(C123,お客様データリスト!$A$2:$MV$2,0),"")</f>
        <v>250</v>
      </c>
      <c r="E123" s="1">
        <f t="shared" ca="1" si="2"/>
        <v>6</v>
      </c>
      <c r="F123" s="1">
        <f>_xlfn.IFNA(VLOOKUP($C123,お客様データ添付!$G:$J,4,FALSE),0)+
_xlfn.IFNA(VLOOKUP($C123,お客様データ添付!$N:$Q,4,FALSE),0)+
_xlfn.IFNA(VLOOKUP($C123,お客様データ添付!$U:$X,4,FALSE),0)+
_xlfn.IFNA(VLOOKUP($C123,お客様データ添付!$AB:$AE,4,FALSE),0)+
_xlfn.IFNA(VLOOKUP($C123,お客様データ添付!$AI:$AL,4,FALSE),0)</f>
        <v>0</v>
      </c>
    </row>
    <row r="124" spans="1:6">
      <c r="A124" s="1">
        <f>_xlfn.IFNA(_xlfn.IFNA(_xlfn.IFNA(_xlfn.IFNA(_xlfn.XLOOKUP(C124,お客様データ添付!G:G,お客様データ添付!E:E),_xlfn.XLOOKUP(C124,お客様データ添付!N:N,お客様データ添付!L:L)),_xlfn.XLOOKUP(C124,お客様データ添付!U:U,お客様データ添付!S:S)),_xlfn.XLOOKUP(C124,お客様データ添付!AB:AB,お客様データ添付!Z:Z)),_xlfn.XLOOKUP(C124,お客様データ添付!AI:AI,お客様データ添付!AG:AG))</f>
        <v>429</v>
      </c>
      <c r="B124" t="s">
        <v>2769</v>
      </c>
      <c r="C124" t="s">
        <v>1626</v>
      </c>
      <c r="D124" s="1">
        <f>IF(C124&lt;&gt;"",MATCH(C124,お客様データリスト!$A$2:$MV$2,0),"")</f>
        <v>252</v>
      </c>
      <c r="E124" s="1">
        <f t="shared" ca="1" si="2"/>
        <v>1</v>
      </c>
      <c r="F124" s="1">
        <f>_xlfn.IFNA(VLOOKUP($C124,お客様データ添付!$G:$J,4,FALSE),0)+
_xlfn.IFNA(VLOOKUP($C124,お客様データ添付!$N:$Q,4,FALSE),0)+
_xlfn.IFNA(VLOOKUP($C124,お客様データ添付!$U:$X,4,FALSE),0)+
_xlfn.IFNA(VLOOKUP($C124,お客様データ添付!$AB:$AE,4,FALSE),0)+
_xlfn.IFNA(VLOOKUP($C124,お客様データ添付!$AI:$AL,4,FALSE),0)</f>
        <v>0</v>
      </c>
    </row>
    <row r="125" spans="1:6">
      <c r="A125" s="1">
        <f>_xlfn.IFNA(_xlfn.IFNA(_xlfn.IFNA(_xlfn.IFNA(_xlfn.XLOOKUP(C125,お客様データ添付!G:G,お客様データ添付!E:E),_xlfn.XLOOKUP(C125,お客様データ添付!N:N,お客様データ添付!L:L)),_xlfn.XLOOKUP(C125,お客様データ添付!U:U,お客様データ添付!S:S)),_xlfn.XLOOKUP(C125,お客様データ添付!AB:AB,お客様データ添付!Z:Z)),_xlfn.XLOOKUP(C125,お客様データ添付!AI:AI,お客様データ添付!AG:AG))</f>
        <v>430</v>
      </c>
      <c r="B125" t="s">
        <v>2770</v>
      </c>
      <c r="C125" t="s">
        <v>1627</v>
      </c>
      <c r="D125" s="1">
        <f>IF(C125&lt;&gt;"",MATCH(C125,お客様データリスト!$A$2:$MV$2,0),"")</f>
        <v>254</v>
      </c>
      <c r="E125" s="1">
        <f t="shared" ca="1" si="2"/>
        <v>2</v>
      </c>
      <c r="F125" s="1">
        <f>_xlfn.IFNA(VLOOKUP($C125,お客様データ添付!$G:$J,4,FALSE),0)+
_xlfn.IFNA(VLOOKUP($C125,お客様データ添付!$N:$Q,4,FALSE),0)+
_xlfn.IFNA(VLOOKUP($C125,お客様データ添付!$U:$X,4,FALSE),0)+
_xlfn.IFNA(VLOOKUP($C125,お客様データ添付!$AB:$AE,4,FALSE),0)+
_xlfn.IFNA(VLOOKUP($C125,お客様データ添付!$AI:$AL,4,FALSE),0)</f>
        <v>0</v>
      </c>
    </row>
    <row r="126" spans="1:6">
      <c r="A126" s="1">
        <f>_xlfn.IFNA(_xlfn.IFNA(_xlfn.IFNA(_xlfn.IFNA(_xlfn.XLOOKUP(C126,お客様データ添付!G:G,お客様データ添付!E:E),_xlfn.XLOOKUP(C126,お客様データ添付!N:N,お客様データ添付!L:L)),_xlfn.XLOOKUP(C126,お客様データ添付!U:U,お客様データ添付!S:S)),_xlfn.XLOOKUP(C126,お客様データ添付!AB:AB,お客様データ添付!Z:Z)),_xlfn.XLOOKUP(C126,お客様データ添付!AI:AI,お客様データ添付!AG:AG))</f>
        <v>431</v>
      </c>
      <c r="B126" t="s">
        <v>2771</v>
      </c>
      <c r="C126" t="s">
        <v>1628</v>
      </c>
      <c r="D126" s="1">
        <f>IF(C126&lt;&gt;"",MATCH(C126,お客様データリスト!$A$2:$MV$2,0),"")</f>
        <v>256</v>
      </c>
      <c r="E126" s="1">
        <f t="shared" ca="1" si="2"/>
        <v>2</v>
      </c>
      <c r="F126" s="1">
        <f>_xlfn.IFNA(VLOOKUP($C126,お客様データ添付!$G:$J,4,FALSE),0)+
_xlfn.IFNA(VLOOKUP($C126,お客様データ添付!$N:$Q,4,FALSE),0)+
_xlfn.IFNA(VLOOKUP($C126,お客様データ添付!$U:$X,4,FALSE),0)+
_xlfn.IFNA(VLOOKUP($C126,お客様データ添付!$AB:$AE,4,FALSE),0)+
_xlfn.IFNA(VLOOKUP($C126,お客様データ添付!$AI:$AL,4,FALSE),0)</f>
        <v>0</v>
      </c>
    </row>
    <row r="127" spans="1:6">
      <c r="A127" s="1">
        <f>_xlfn.IFNA(_xlfn.IFNA(_xlfn.IFNA(_xlfn.IFNA(_xlfn.XLOOKUP(C127,お客様データ添付!G:G,お客様データ添付!E:E),_xlfn.XLOOKUP(C127,お客様データ添付!N:N,お客様データ添付!L:L)),_xlfn.XLOOKUP(C127,お客様データ添付!U:U,お客様データ添付!S:S)),_xlfn.XLOOKUP(C127,お客様データ添付!AB:AB,お客様データ添付!Z:Z)),_xlfn.XLOOKUP(C127,お客様データ添付!AI:AI,お客様データ添付!AG:AG))</f>
        <v>432</v>
      </c>
      <c r="B127" t="s">
        <v>2772</v>
      </c>
      <c r="C127" t="s">
        <v>1629</v>
      </c>
      <c r="D127" s="1">
        <f>IF(C127&lt;&gt;"",MATCH(C127,お客様データリスト!$A$2:$MV$2,0),"")</f>
        <v>258</v>
      </c>
      <c r="E127" s="1">
        <f t="shared" ca="1" si="2"/>
        <v>1</v>
      </c>
      <c r="F127" s="1">
        <f>_xlfn.IFNA(VLOOKUP($C127,お客様データ添付!$G:$J,4,FALSE),0)+
_xlfn.IFNA(VLOOKUP($C127,お客様データ添付!$N:$Q,4,FALSE),0)+
_xlfn.IFNA(VLOOKUP($C127,お客様データ添付!$U:$X,4,FALSE),0)+
_xlfn.IFNA(VLOOKUP($C127,お客様データ添付!$AB:$AE,4,FALSE),0)+
_xlfn.IFNA(VLOOKUP($C127,お客様データ添付!$AI:$AL,4,FALSE),0)</f>
        <v>0</v>
      </c>
    </row>
    <row r="128" spans="1:6">
      <c r="A128" s="1">
        <f>_xlfn.IFNA(_xlfn.IFNA(_xlfn.IFNA(_xlfn.IFNA(_xlfn.XLOOKUP(C128,お客様データ添付!G:G,お客様データ添付!E:E),_xlfn.XLOOKUP(C128,お客様データ添付!N:N,お客様データ添付!L:L)),_xlfn.XLOOKUP(C128,お客様データ添付!U:U,お客様データ添付!S:S)),_xlfn.XLOOKUP(C128,お客様データ添付!AB:AB,お客様データ添付!Z:Z)),_xlfn.XLOOKUP(C128,お客様データ添付!AI:AI,お客様データ添付!AG:AG))</f>
        <v>433</v>
      </c>
      <c r="B128" t="s">
        <v>2773</v>
      </c>
      <c r="C128" t="s">
        <v>1630</v>
      </c>
      <c r="D128" s="1">
        <f>IF(C128&lt;&gt;"",MATCH(C128,お客様データリスト!$A$2:$MV$2,0),"")</f>
        <v>260</v>
      </c>
      <c r="E128" s="1">
        <f t="shared" ca="1" si="2"/>
        <v>3</v>
      </c>
      <c r="F128" s="1">
        <f>_xlfn.IFNA(VLOOKUP($C128,お客様データ添付!$G:$J,4,FALSE),0)+
_xlfn.IFNA(VLOOKUP($C128,お客様データ添付!$N:$Q,4,FALSE),0)+
_xlfn.IFNA(VLOOKUP($C128,お客様データ添付!$U:$X,4,FALSE),0)+
_xlfn.IFNA(VLOOKUP($C128,お客様データ添付!$AB:$AE,4,FALSE),0)+
_xlfn.IFNA(VLOOKUP($C128,お客様データ添付!$AI:$AL,4,FALSE),0)</f>
        <v>0</v>
      </c>
    </row>
    <row r="129" spans="1:6">
      <c r="A129" s="1">
        <f>_xlfn.IFNA(_xlfn.IFNA(_xlfn.IFNA(_xlfn.IFNA(_xlfn.XLOOKUP(C129,お客様データ添付!G:G,お客様データ添付!E:E),_xlfn.XLOOKUP(C129,お客様データ添付!N:N,お客様データ添付!L:L)),_xlfn.XLOOKUP(C129,お客様データ添付!U:U,お客様データ添付!S:S)),_xlfn.XLOOKUP(C129,お客様データ添付!AB:AB,お客様データ添付!Z:Z)),_xlfn.XLOOKUP(C129,お客様データ添付!AI:AI,お客様データ添付!AG:AG))</f>
        <v>434</v>
      </c>
      <c r="B129" t="s">
        <v>2774</v>
      </c>
      <c r="C129" t="s">
        <v>1631</v>
      </c>
      <c r="D129" s="1">
        <f>IF(C129&lt;&gt;"",MATCH(C129,お客様データリスト!$A$2:$MV$2,0),"")</f>
        <v>262</v>
      </c>
      <c r="E129" s="1">
        <f t="shared" ca="1" si="2"/>
        <v>3</v>
      </c>
      <c r="F129" s="1">
        <f>_xlfn.IFNA(VLOOKUP($C129,お客様データ添付!$G:$J,4,FALSE),0)+
_xlfn.IFNA(VLOOKUP($C129,お客様データ添付!$N:$Q,4,FALSE),0)+
_xlfn.IFNA(VLOOKUP($C129,お客様データ添付!$U:$X,4,FALSE),0)+
_xlfn.IFNA(VLOOKUP($C129,お客様データ添付!$AB:$AE,4,FALSE),0)+
_xlfn.IFNA(VLOOKUP($C129,お客様データ添付!$AI:$AL,4,FALSE),0)</f>
        <v>0</v>
      </c>
    </row>
    <row r="130" spans="1:6">
      <c r="A130" s="1">
        <f>_xlfn.IFNA(_xlfn.IFNA(_xlfn.IFNA(_xlfn.IFNA(_xlfn.XLOOKUP(C130,お客様データ添付!G:G,お客様データ添付!E:E),_xlfn.XLOOKUP(C130,お客様データ添付!N:N,お客様データ添付!L:L)),_xlfn.XLOOKUP(C130,お客様データ添付!U:U,お客様データ添付!S:S)),_xlfn.XLOOKUP(C130,お客様データ添付!AB:AB,お客様データ添付!Z:Z)),_xlfn.XLOOKUP(C130,お客様データ添付!AI:AI,お客様データ添付!AG:AG))</f>
        <v>435</v>
      </c>
      <c r="B130" t="s">
        <v>2775</v>
      </c>
      <c r="C130" t="s">
        <v>1632</v>
      </c>
      <c r="D130" s="1">
        <f>IF(C130&lt;&gt;"",MATCH(C130,お客様データリスト!$A$2:$MV$2,0),"")</f>
        <v>264</v>
      </c>
      <c r="E130" s="1">
        <f t="shared" ca="1" si="2"/>
        <v>8</v>
      </c>
      <c r="F130" s="1">
        <f>_xlfn.IFNA(VLOOKUP($C130,お客様データ添付!$G:$J,4,FALSE),0)+
_xlfn.IFNA(VLOOKUP($C130,お客様データ添付!$N:$Q,4,FALSE),0)+
_xlfn.IFNA(VLOOKUP($C130,お客様データ添付!$U:$X,4,FALSE),0)+
_xlfn.IFNA(VLOOKUP($C130,お客様データ添付!$AB:$AE,4,FALSE),0)+
_xlfn.IFNA(VLOOKUP($C130,お客様データ添付!$AI:$AL,4,FALSE),0)</f>
        <v>0</v>
      </c>
    </row>
    <row r="131" spans="1:6">
      <c r="A131" s="1">
        <f>_xlfn.IFNA(_xlfn.IFNA(_xlfn.IFNA(_xlfn.IFNA(_xlfn.XLOOKUP(C131,お客様データ添付!G:G,お客様データ添付!E:E),_xlfn.XLOOKUP(C131,お客様データ添付!N:N,お客様データ添付!L:L)),_xlfn.XLOOKUP(C131,お客様データ添付!U:U,お客様データ添付!S:S)),_xlfn.XLOOKUP(C131,お客様データ添付!AB:AB,お客様データ添付!Z:Z)),_xlfn.XLOOKUP(C131,お客様データ添付!AI:AI,お客様データ添付!AG:AG))</f>
        <v>436</v>
      </c>
      <c r="B131" t="s">
        <v>2776</v>
      </c>
      <c r="C131" t="s">
        <v>1633</v>
      </c>
      <c r="D131" s="1">
        <f>IF(C131&lt;&gt;"",MATCH(C131,お客様データリスト!$A$2:$MV$2,0),"")</f>
        <v>266</v>
      </c>
      <c r="E131" s="1">
        <f t="shared" ca="1" si="2"/>
        <v>5</v>
      </c>
      <c r="F131" s="1">
        <f>_xlfn.IFNA(VLOOKUP($C131,お客様データ添付!$G:$J,4,FALSE),0)+
_xlfn.IFNA(VLOOKUP($C131,お客様データ添付!$N:$Q,4,FALSE),0)+
_xlfn.IFNA(VLOOKUP($C131,お客様データ添付!$U:$X,4,FALSE),0)+
_xlfn.IFNA(VLOOKUP($C131,お客様データ添付!$AB:$AE,4,FALSE),0)+
_xlfn.IFNA(VLOOKUP($C131,お客様データ添付!$AI:$AL,4,FALSE),0)</f>
        <v>0</v>
      </c>
    </row>
    <row r="132" spans="1:6">
      <c r="A132" s="1">
        <f>_xlfn.IFNA(_xlfn.IFNA(_xlfn.IFNA(_xlfn.IFNA(_xlfn.XLOOKUP(C132,お客様データ添付!G:G,お客様データ添付!E:E),_xlfn.XLOOKUP(C132,お客様データ添付!N:N,お客様データ添付!L:L)),_xlfn.XLOOKUP(C132,お客様データ添付!U:U,お客様データ添付!S:S)),_xlfn.XLOOKUP(C132,お客様データ添付!AB:AB,お客様データ添付!Z:Z)),_xlfn.XLOOKUP(C132,お客様データ添付!AI:AI,お客様データ添付!AG:AG))</f>
        <v>437</v>
      </c>
      <c r="B132" t="s">
        <v>2777</v>
      </c>
      <c r="C132" t="s">
        <v>1634</v>
      </c>
      <c r="D132" s="1">
        <f>IF(C132&lt;&gt;"",MATCH(C132,お客様データリスト!$A$2:$MV$2,0),"")</f>
        <v>268</v>
      </c>
      <c r="E132" s="1">
        <f t="shared" ca="1" si="2"/>
        <v>0</v>
      </c>
      <c r="F132" s="1">
        <f>_xlfn.IFNA(VLOOKUP($C132,お客様データ添付!$G:$J,4,FALSE),0)+
_xlfn.IFNA(VLOOKUP($C132,お客様データ添付!$N:$Q,4,FALSE),0)+
_xlfn.IFNA(VLOOKUP($C132,お客様データ添付!$U:$X,4,FALSE),0)+
_xlfn.IFNA(VLOOKUP($C132,お客様データ添付!$AB:$AE,4,FALSE),0)+
_xlfn.IFNA(VLOOKUP($C132,お客様データ添付!$AI:$AL,4,FALSE),0)</f>
        <v>0</v>
      </c>
    </row>
    <row r="133" spans="1:6">
      <c r="A133" s="1">
        <f>_xlfn.IFNA(_xlfn.IFNA(_xlfn.IFNA(_xlfn.IFNA(_xlfn.XLOOKUP(C133,お客様データ添付!G:G,お客様データ添付!E:E),_xlfn.XLOOKUP(C133,お客様データ添付!N:N,お客様データ添付!L:L)),_xlfn.XLOOKUP(C133,お客様データ添付!U:U,お客様データ添付!S:S)),_xlfn.XLOOKUP(C133,お客様データ添付!AB:AB,お客様データ添付!Z:Z)),_xlfn.XLOOKUP(C133,お客様データ添付!AI:AI,お客様データ添付!AG:AG))</f>
        <v>438</v>
      </c>
      <c r="B133" t="s">
        <v>2778</v>
      </c>
      <c r="C133" t="s">
        <v>1635</v>
      </c>
      <c r="D133" s="1">
        <f>IF(C133&lt;&gt;"",MATCH(C133,お客様データリスト!$A$2:$MV$2,0),"")</f>
        <v>270</v>
      </c>
      <c r="E133" s="1">
        <f t="shared" ca="1" si="2"/>
        <v>0</v>
      </c>
      <c r="F133" s="1">
        <f>_xlfn.IFNA(VLOOKUP($C133,お客様データ添付!$G:$J,4,FALSE),0)+
_xlfn.IFNA(VLOOKUP($C133,お客様データ添付!$N:$Q,4,FALSE),0)+
_xlfn.IFNA(VLOOKUP($C133,お客様データ添付!$U:$X,4,FALSE),0)+
_xlfn.IFNA(VLOOKUP($C133,お客様データ添付!$AB:$AE,4,FALSE),0)+
_xlfn.IFNA(VLOOKUP($C133,お客様データ添付!$AI:$AL,4,FALSE),0)</f>
        <v>0</v>
      </c>
    </row>
    <row r="134" spans="1:6">
      <c r="A134" s="1">
        <f>_xlfn.IFNA(_xlfn.IFNA(_xlfn.IFNA(_xlfn.IFNA(_xlfn.XLOOKUP(C134,お客様データ添付!G:G,お客様データ添付!E:E),_xlfn.XLOOKUP(C134,お客様データ添付!N:N,お客様データ添付!L:L)),_xlfn.XLOOKUP(C134,お客様データ添付!U:U,お客様データ添付!S:S)),_xlfn.XLOOKUP(C134,お客様データ添付!AB:AB,お客様データ添付!Z:Z)),_xlfn.XLOOKUP(C134,お客様データ添付!AI:AI,お客様データ添付!AG:AG))</f>
        <v>501</v>
      </c>
      <c r="B134" t="s">
        <v>2781</v>
      </c>
      <c r="C134" t="s">
        <v>1639</v>
      </c>
      <c r="D134" s="1">
        <f>IF(C134&lt;&gt;"",MATCH(C134,お客様データリスト!$A$2:$MV$2,0),"")</f>
        <v>272</v>
      </c>
      <c r="E134" s="1">
        <f t="shared" ca="1" si="2"/>
        <v>1</v>
      </c>
      <c r="F134" s="1">
        <f>_xlfn.IFNA(VLOOKUP($C134,お客様データ添付!$G:$J,4,FALSE),0)+
_xlfn.IFNA(VLOOKUP($C134,お客様データ添付!$N:$Q,4,FALSE),0)+
_xlfn.IFNA(VLOOKUP($C134,お客様データ添付!$U:$X,4,FALSE),0)+
_xlfn.IFNA(VLOOKUP($C134,お客様データ添付!$AB:$AE,4,FALSE),0)+
_xlfn.IFNA(VLOOKUP($C134,お客様データ添付!$AI:$AL,4,FALSE),0)</f>
        <v>0</v>
      </c>
    </row>
    <row r="135" spans="1:6">
      <c r="A135" s="1">
        <f>_xlfn.IFNA(_xlfn.IFNA(_xlfn.IFNA(_xlfn.IFNA(_xlfn.XLOOKUP(C135,お客様データ添付!G:G,お客様データ添付!E:E),_xlfn.XLOOKUP(C135,お客様データ添付!N:N,お客様データ添付!L:L)),_xlfn.XLOOKUP(C135,お客様データ添付!U:U,お客様データ添付!S:S)),_xlfn.XLOOKUP(C135,お客様データ添付!AB:AB,お客様データ添付!Z:Z)),_xlfn.XLOOKUP(C135,お客様データ添付!AI:AI,お客様データ添付!AG:AG))</f>
        <v>502</v>
      </c>
      <c r="B135" t="s">
        <v>2782</v>
      </c>
      <c r="C135" t="s">
        <v>1640</v>
      </c>
      <c r="D135" s="1">
        <f>IF(C135&lt;&gt;"",MATCH(C135,お客様データリスト!$A$2:$MV$2,0),"")</f>
        <v>274</v>
      </c>
      <c r="E135" s="1">
        <f t="shared" ca="1" si="2"/>
        <v>0</v>
      </c>
      <c r="F135" s="1">
        <f>_xlfn.IFNA(VLOOKUP($C135,お客様データ添付!$G:$J,4,FALSE),0)+
_xlfn.IFNA(VLOOKUP($C135,お客様データ添付!$N:$Q,4,FALSE),0)+
_xlfn.IFNA(VLOOKUP($C135,お客様データ添付!$U:$X,4,FALSE),0)+
_xlfn.IFNA(VLOOKUP($C135,お客様データ添付!$AB:$AE,4,FALSE),0)+
_xlfn.IFNA(VLOOKUP($C135,お客様データ添付!$AI:$AL,4,FALSE),0)</f>
        <v>0</v>
      </c>
    </row>
    <row r="136" spans="1:6">
      <c r="A136" s="1">
        <f>_xlfn.IFNA(_xlfn.IFNA(_xlfn.IFNA(_xlfn.IFNA(_xlfn.XLOOKUP(C136,お客様データ添付!G:G,お客様データ添付!E:E),_xlfn.XLOOKUP(C136,お客様データ添付!N:N,お客様データ添付!L:L)),_xlfn.XLOOKUP(C136,お客様データ添付!U:U,お客様データ添付!S:S)),_xlfn.XLOOKUP(C136,お客様データ添付!AB:AB,お客様データ添付!Z:Z)),_xlfn.XLOOKUP(C136,お客様データ添付!AI:AI,お客様データ添付!AG:AG))</f>
        <v>503</v>
      </c>
      <c r="B136" t="s">
        <v>2783</v>
      </c>
      <c r="C136" t="s">
        <v>1641</v>
      </c>
      <c r="D136" s="1">
        <f>IF(C136&lt;&gt;"",MATCH(C136,お客様データリスト!$A$2:$MV$2,0),"")</f>
        <v>276</v>
      </c>
      <c r="E136" s="1">
        <f t="shared" ca="1" si="2"/>
        <v>0</v>
      </c>
      <c r="F136" s="1">
        <f>_xlfn.IFNA(VLOOKUP($C136,お客様データ添付!$G:$J,4,FALSE),0)+
_xlfn.IFNA(VLOOKUP($C136,お客様データ添付!$N:$Q,4,FALSE),0)+
_xlfn.IFNA(VLOOKUP($C136,お客様データ添付!$U:$X,4,FALSE),0)+
_xlfn.IFNA(VLOOKUP($C136,お客様データ添付!$AB:$AE,4,FALSE),0)+
_xlfn.IFNA(VLOOKUP($C136,お客様データ添付!$AI:$AL,4,FALSE),0)</f>
        <v>0</v>
      </c>
    </row>
    <row r="137" spans="1:6">
      <c r="A137" s="1">
        <f>_xlfn.IFNA(_xlfn.IFNA(_xlfn.IFNA(_xlfn.IFNA(_xlfn.XLOOKUP(C137,お客様データ添付!G:G,お客様データ添付!E:E),_xlfn.XLOOKUP(C137,お客様データ添付!N:N,お客様データ添付!L:L)),_xlfn.XLOOKUP(C137,お客様データ添付!U:U,お客様データ添付!S:S)),_xlfn.XLOOKUP(C137,お客様データ添付!AB:AB,お客様データ添付!Z:Z)),_xlfn.XLOOKUP(C137,お客様データ添付!AI:AI,お客様データ添付!AG:AG))</f>
        <v>504</v>
      </c>
      <c r="B137" t="s">
        <v>2786</v>
      </c>
      <c r="C137" t="s">
        <v>1644</v>
      </c>
      <c r="D137" s="1">
        <f>IF(C137&lt;&gt;"",MATCH(C137,お客様データリスト!$A$2:$MV$2,0),"")</f>
        <v>278</v>
      </c>
      <c r="E137" s="1">
        <f t="shared" ref="E137:E178" ca="1" si="4">COUNTA(INDIRECT("R4C"&amp;D137&amp;":R1000C"&amp;D137,FALSE))</f>
        <v>1</v>
      </c>
      <c r="F137" s="1">
        <f>_xlfn.IFNA(VLOOKUP($C137,お客様データ添付!$G:$J,4,FALSE),0)+
_xlfn.IFNA(VLOOKUP($C137,お客様データ添付!$N:$Q,4,FALSE),0)+
_xlfn.IFNA(VLOOKUP($C137,お客様データ添付!$U:$X,4,FALSE),0)+
_xlfn.IFNA(VLOOKUP($C137,お客様データ添付!$AB:$AE,4,FALSE),0)+
_xlfn.IFNA(VLOOKUP($C137,お客様データ添付!$AI:$AL,4,FALSE),0)</f>
        <v>0</v>
      </c>
    </row>
    <row r="138" spans="1:6">
      <c r="A138" s="1">
        <f>_xlfn.IFNA(_xlfn.IFNA(_xlfn.IFNA(_xlfn.IFNA(_xlfn.XLOOKUP(C138,お客様データ添付!G:G,お客様データ添付!E:E),_xlfn.XLOOKUP(C138,お客様データ添付!N:N,お客様データ添付!L:L)),_xlfn.XLOOKUP(C138,お客様データ添付!U:U,お客様データ添付!S:S)),_xlfn.XLOOKUP(C138,お客様データ添付!AB:AB,お客様データ添付!Z:Z)),_xlfn.XLOOKUP(C138,お客様データ添付!AI:AI,お客様データ添付!AG:AG))</f>
        <v>505</v>
      </c>
      <c r="B138" t="s">
        <v>2787</v>
      </c>
      <c r="C138" t="s">
        <v>1645</v>
      </c>
      <c r="D138" s="1">
        <f>IF(C138&lt;&gt;"",MATCH(C138,お客様データリスト!$A$2:$MV$2,0),"")</f>
        <v>280</v>
      </c>
      <c r="E138" s="1">
        <f t="shared" ca="1" si="4"/>
        <v>1</v>
      </c>
      <c r="F138" s="1">
        <f>_xlfn.IFNA(VLOOKUP($C138,お客様データ添付!$G:$J,4,FALSE),0)+
_xlfn.IFNA(VLOOKUP($C138,お客様データ添付!$N:$Q,4,FALSE),0)+
_xlfn.IFNA(VLOOKUP($C138,お客様データ添付!$U:$X,4,FALSE),0)+
_xlfn.IFNA(VLOOKUP($C138,お客様データ添付!$AB:$AE,4,FALSE),0)+
_xlfn.IFNA(VLOOKUP($C138,お客様データ添付!$AI:$AL,4,FALSE),0)</f>
        <v>0</v>
      </c>
    </row>
    <row r="139" spans="1:6">
      <c r="A139" s="1">
        <f>_xlfn.IFNA(_xlfn.IFNA(_xlfn.IFNA(_xlfn.IFNA(_xlfn.XLOOKUP(C139,お客様データ添付!G:G,お客様データ添付!E:E),_xlfn.XLOOKUP(C139,お客様データ添付!N:N,お客様データ添付!L:L)),_xlfn.XLOOKUP(C139,お客様データ添付!U:U,お客様データ添付!S:S)),_xlfn.XLOOKUP(C139,お客様データ添付!AB:AB,お客様データ添付!Z:Z)),_xlfn.XLOOKUP(C139,お客様データ添付!AI:AI,お客様データ添付!AG:AG))</f>
        <v>506</v>
      </c>
      <c r="B139" t="s">
        <v>2788</v>
      </c>
      <c r="C139" t="s">
        <v>1646</v>
      </c>
      <c r="D139" s="1">
        <f>IF(C139&lt;&gt;"",MATCH(C139,お客様データリスト!$A$2:$MV$2,0),"")</f>
        <v>282</v>
      </c>
      <c r="E139" s="1">
        <f t="shared" ca="1" si="4"/>
        <v>1</v>
      </c>
      <c r="F139" s="1">
        <f>_xlfn.IFNA(VLOOKUP($C139,お客様データ添付!$G:$J,4,FALSE),0)+
_xlfn.IFNA(VLOOKUP($C139,お客様データ添付!$N:$Q,4,FALSE),0)+
_xlfn.IFNA(VLOOKUP($C139,お客様データ添付!$U:$X,4,FALSE),0)+
_xlfn.IFNA(VLOOKUP($C139,お客様データ添付!$AB:$AE,4,FALSE),0)+
_xlfn.IFNA(VLOOKUP($C139,お客様データ添付!$AI:$AL,4,FALSE),0)</f>
        <v>0</v>
      </c>
    </row>
    <row r="140" spans="1:6">
      <c r="A140" s="1">
        <f>_xlfn.IFNA(_xlfn.IFNA(_xlfn.IFNA(_xlfn.IFNA(_xlfn.XLOOKUP(C140,お客様データ添付!G:G,お客様データ添付!E:E),_xlfn.XLOOKUP(C140,お客様データ添付!N:N,お客様データ添付!L:L)),_xlfn.XLOOKUP(C140,お客様データ添付!U:U,お客様データ添付!S:S)),_xlfn.XLOOKUP(C140,お客様データ添付!AB:AB,お客様データ添付!Z:Z)),_xlfn.XLOOKUP(C140,お客様データ添付!AI:AI,お客様データ添付!AG:AG))</f>
        <v>507</v>
      </c>
      <c r="B140" t="s">
        <v>2789</v>
      </c>
      <c r="C140" t="s">
        <v>1647</v>
      </c>
      <c r="D140" s="1">
        <f>IF(C140&lt;&gt;"",MATCH(C140,お客様データリスト!$A$2:$MV$2,0),"")</f>
        <v>284</v>
      </c>
      <c r="E140" s="1">
        <f t="shared" ca="1" si="4"/>
        <v>0</v>
      </c>
      <c r="F140" s="1">
        <f>_xlfn.IFNA(VLOOKUP($C140,お客様データ添付!$G:$J,4,FALSE),0)+
_xlfn.IFNA(VLOOKUP($C140,お客様データ添付!$N:$Q,4,FALSE),0)+
_xlfn.IFNA(VLOOKUP($C140,お客様データ添付!$U:$X,4,FALSE),0)+
_xlfn.IFNA(VLOOKUP($C140,お客様データ添付!$AB:$AE,4,FALSE),0)+
_xlfn.IFNA(VLOOKUP($C140,お客様データ添付!$AI:$AL,4,FALSE),0)</f>
        <v>0</v>
      </c>
    </row>
    <row r="141" spans="1:6">
      <c r="A141" s="1">
        <f>_xlfn.IFNA(_xlfn.IFNA(_xlfn.IFNA(_xlfn.IFNA(_xlfn.XLOOKUP(C141,お客様データ添付!G:G,お客様データ添付!E:E),_xlfn.XLOOKUP(C141,お客様データ添付!N:N,お客様データ添付!L:L)),_xlfn.XLOOKUP(C141,お客様データ添付!U:U,お客様データ添付!S:S)),_xlfn.XLOOKUP(C141,お客様データ添付!AB:AB,お客様データ添付!Z:Z)),_xlfn.XLOOKUP(C141,お客様データ添付!AI:AI,お客様データ添付!AG:AG))</f>
        <v>508</v>
      </c>
      <c r="B141" t="s">
        <v>2790</v>
      </c>
      <c r="C141" t="s">
        <v>1648</v>
      </c>
      <c r="D141" s="1">
        <f>IF(C141&lt;&gt;"",MATCH(C141,お客様データリスト!$A$2:$MV$2,0),"")</f>
        <v>286</v>
      </c>
      <c r="E141" s="1">
        <f t="shared" ca="1" si="4"/>
        <v>0</v>
      </c>
      <c r="F141" s="1">
        <f>_xlfn.IFNA(VLOOKUP($C141,お客様データ添付!$G:$J,4,FALSE),0)+
_xlfn.IFNA(VLOOKUP($C141,お客様データ添付!$N:$Q,4,FALSE),0)+
_xlfn.IFNA(VLOOKUP($C141,お客様データ添付!$U:$X,4,FALSE),0)+
_xlfn.IFNA(VLOOKUP($C141,お客様データ添付!$AB:$AE,4,FALSE),0)+
_xlfn.IFNA(VLOOKUP($C141,お客様データ添付!$AI:$AL,4,FALSE),0)</f>
        <v>0</v>
      </c>
    </row>
    <row r="142" spans="1:6">
      <c r="A142" s="1">
        <f>_xlfn.IFNA(_xlfn.IFNA(_xlfn.IFNA(_xlfn.IFNA(_xlfn.XLOOKUP(C142,お客様データ添付!G:G,お客様データ添付!E:E),_xlfn.XLOOKUP(C142,お客様データ添付!N:N,お客様データ添付!L:L)),_xlfn.XLOOKUP(C142,お客様データ添付!U:U,お客様データ添付!S:S)),_xlfn.XLOOKUP(C142,お客様データ添付!AB:AB,お客様データ添付!Z:Z)),_xlfn.XLOOKUP(C142,お客様データ添付!AI:AI,お客様データ添付!AG:AG))</f>
        <v>509</v>
      </c>
      <c r="B142" t="s">
        <v>2791</v>
      </c>
      <c r="C142" t="s">
        <v>1649</v>
      </c>
      <c r="D142" s="1">
        <f>IF(C142&lt;&gt;"",MATCH(C142,お客様データリスト!$A$2:$MV$2,0),"")</f>
        <v>288</v>
      </c>
      <c r="E142" s="1">
        <f t="shared" ca="1" si="4"/>
        <v>0</v>
      </c>
      <c r="F142" s="1">
        <f>_xlfn.IFNA(VLOOKUP($C142,お客様データ添付!$G:$J,4,FALSE),0)+
_xlfn.IFNA(VLOOKUP($C142,お客様データ添付!$N:$Q,4,FALSE),0)+
_xlfn.IFNA(VLOOKUP($C142,お客様データ添付!$U:$X,4,FALSE),0)+
_xlfn.IFNA(VLOOKUP($C142,お客様データ添付!$AB:$AE,4,FALSE),0)+
_xlfn.IFNA(VLOOKUP($C142,お客様データ添付!$AI:$AL,4,FALSE),0)</f>
        <v>0</v>
      </c>
    </row>
    <row r="143" spans="1:6">
      <c r="A143" s="1">
        <f>_xlfn.IFNA(_xlfn.IFNA(_xlfn.IFNA(_xlfn.IFNA(_xlfn.XLOOKUP(C143,お客様データ添付!G:G,お客様データ添付!E:E),_xlfn.XLOOKUP(C143,お客様データ添付!N:N,お客様データ添付!L:L)),_xlfn.XLOOKUP(C143,お客様データ添付!U:U,お客様データ添付!S:S)),_xlfn.XLOOKUP(C143,お客様データ添付!AB:AB,お客様データ添付!Z:Z)),_xlfn.XLOOKUP(C143,お客様データ添付!AI:AI,お客様データ添付!AG:AG))</f>
        <v>115</v>
      </c>
      <c r="B143" t="s">
        <v>2654</v>
      </c>
      <c r="C143" t="s">
        <v>1650</v>
      </c>
      <c r="D143" s="1">
        <f>IF(C143&lt;&gt;"",MATCH(C143,お客様データリスト!$A$2:$MV$2,0),"")</f>
        <v>290</v>
      </c>
      <c r="E143" s="1">
        <f t="shared" ca="1" si="4"/>
        <v>2</v>
      </c>
      <c r="F143" s="1">
        <f>_xlfn.IFNA(VLOOKUP($C143,お客様データ添付!$G:$J,4,FALSE),0)+
_xlfn.IFNA(VLOOKUP($C143,お客様データ添付!$N:$Q,4,FALSE),0)+
_xlfn.IFNA(VLOOKUP($C143,お客様データ添付!$U:$X,4,FALSE),0)+
_xlfn.IFNA(VLOOKUP($C143,お客様データ添付!$AB:$AE,4,FALSE),0)+
_xlfn.IFNA(VLOOKUP($C143,お客様データ添付!$AI:$AL,4,FALSE),0)</f>
        <v>0</v>
      </c>
    </row>
    <row r="144" spans="1:6">
      <c r="A144" s="1">
        <f>_xlfn.IFNA(_xlfn.IFNA(_xlfn.IFNA(_xlfn.IFNA(_xlfn.XLOOKUP(C144,お客様データ添付!G:G,お客様データ添付!E:E),_xlfn.XLOOKUP(C144,お客様データ添付!N:N,お客様データ添付!L:L)),_xlfn.XLOOKUP(C144,お客様データ添付!U:U,お客様データ添付!S:S)),_xlfn.XLOOKUP(C144,お客様データ添付!AB:AB,お客様データ添付!Z:Z)),_xlfn.XLOOKUP(C144,お客様データ添付!AI:AI,お客様データ添付!AG:AG))</f>
        <v>116</v>
      </c>
      <c r="B144" t="s">
        <v>2655</v>
      </c>
      <c r="C144" t="s">
        <v>1651</v>
      </c>
      <c r="D144" s="1">
        <f>IF(C144&lt;&gt;"",MATCH(C144,お客様データリスト!$A$2:$MV$2,0),"")</f>
        <v>292</v>
      </c>
      <c r="E144" s="1">
        <f t="shared" ca="1" si="4"/>
        <v>0</v>
      </c>
      <c r="F144" s="1">
        <f>_xlfn.IFNA(VLOOKUP($C144,お客様データ添付!$G:$J,4,FALSE),0)+
_xlfn.IFNA(VLOOKUP($C144,お客様データ添付!$N:$Q,4,FALSE),0)+
_xlfn.IFNA(VLOOKUP($C144,お客様データ添付!$U:$X,4,FALSE),0)+
_xlfn.IFNA(VLOOKUP($C144,お客様データ添付!$AB:$AE,4,FALSE),0)+
_xlfn.IFNA(VLOOKUP($C144,お客様データ添付!$AI:$AL,4,FALSE),0)</f>
        <v>0</v>
      </c>
    </row>
    <row r="145" spans="1:6">
      <c r="A145" s="1">
        <f>_xlfn.IFNA(_xlfn.IFNA(_xlfn.IFNA(_xlfn.IFNA(_xlfn.XLOOKUP(C145,お客様データ添付!G:G,お客様データ添付!E:E),_xlfn.XLOOKUP(C145,お客様データ添付!N:N,お客様データ添付!L:L)),_xlfn.XLOOKUP(C145,お客様データ添付!U:U,お客様データ添付!S:S)),_xlfn.XLOOKUP(C145,お客様データ添付!AB:AB,お客様データ添付!Z:Z)),_xlfn.XLOOKUP(C145,お客様データ添付!AI:AI,お客様データ添付!AG:AG))</f>
        <v>117</v>
      </c>
      <c r="B145" t="s">
        <v>2832</v>
      </c>
      <c r="C145" t="s">
        <v>1652</v>
      </c>
      <c r="D145" s="1">
        <f>IF(C145&lt;&gt;"",MATCH(C145,お客様データリスト!$A$2:$MV$2,0),"")</f>
        <v>294</v>
      </c>
      <c r="E145" s="1">
        <f t="shared" ca="1" si="4"/>
        <v>3</v>
      </c>
      <c r="F145" s="1">
        <f>_xlfn.IFNA(VLOOKUP($C145,お客様データ添付!$G:$J,4,FALSE),0)+
_xlfn.IFNA(VLOOKUP($C145,お客様データ添付!$N:$Q,4,FALSE),0)+
_xlfn.IFNA(VLOOKUP($C145,お客様データ添付!$U:$X,4,FALSE),0)+
_xlfn.IFNA(VLOOKUP($C145,お客様データ添付!$AB:$AE,4,FALSE),0)+
_xlfn.IFNA(VLOOKUP($C145,お客様データ添付!$AI:$AL,4,FALSE),0)</f>
        <v>0</v>
      </c>
    </row>
    <row r="146" spans="1:6">
      <c r="A146" s="1">
        <f>_xlfn.IFNA(_xlfn.IFNA(_xlfn.IFNA(_xlfn.IFNA(_xlfn.XLOOKUP(C146,お客様データ添付!G:G,お客様データ添付!E:E),_xlfn.XLOOKUP(C146,お客様データ添付!N:N,お客様データ添付!L:L)),_xlfn.XLOOKUP(C146,お客様データ添付!U:U,お客様データ添付!S:S)),_xlfn.XLOOKUP(C146,お客様データ添付!AB:AB,お客様データ添付!Z:Z)),_xlfn.XLOOKUP(C146,お客様データ添付!AI:AI,お客様データ添付!AG:AG))</f>
        <v>515</v>
      </c>
      <c r="B146" t="s">
        <v>2800</v>
      </c>
      <c r="C146" t="s">
        <v>1653</v>
      </c>
      <c r="D146" s="1">
        <f>IF(C146&lt;&gt;"",MATCH(C146,お客様データリスト!$A$2:$MV$2,0),"")</f>
        <v>296</v>
      </c>
      <c r="E146" s="1">
        <f t="shared" ca="1" si="4"/>
        <v>1</v>
      </c>
      <c r="F146" s="1">
        <f>_xlfn.IFNA(VLOOKUP($C146,お客様データ添付!$G:$J,4,FALSE),0)+
_xlfn.IFNA(VLOOKUP($C146,お客様データ添付!$N:$Q,4,FALSE),0)+
_xlfn.IFNA(VLOOKUP($C146,お客様データ添付!$U:$X,4,FALSE),0)+
_xlfn.IFNA(VLOOKUP($C146,お客様データ添付!$AB:$AE,4,FALSE),0)+
_xlfn.IFNA(VLOOKUP($C146,お客様データ添付!$AI:$AL,4,FALSE),0)</f>
        <v>0</v>
      </c>
    </row>
    <row r="147" spans="1:6">
      <c r="A147" s="1">
        <f>_xlfn.IFNA(_xlfn.IFNA(_xlfn.IFNA(_xlfn.IFNA(_xlfn.XLOOKUP(C147,お客様データ添付!G:G,お客様データ添付!E:E),_xlfn.XLOOKUP(C147,お客様データ添付!N:N,お客様データ添付!L:L)),_xlfn.XLOOKUP(C147,お客様データ添付!U:U,お客様データ添付!S:S)),_xlfn.XLOOKUP(C147,お客様データ添付!AB:AB,お客様データ添付!Z:Z)),_xlfn.XLOOKUP(C147,お客様データ添付!AI:AI,お客様データ添付!AG:AG))</f>
        <v>516</v>
      </c>
      <c r="B147" t="s">
        <v>2801</v>
      </c>
      <c r="C147" t="s">
        <v>1654</v>
      </c>
      <c r="D147" s="1">
        <f>IF(C147&lt;&gt;"",MATCH(C147,お客様データリスト!$A$2:$MV$2,0),"")</f>
        <v>298</v>
      </c>
      <c r="E147" s="1">
        <f t="shared" ca="1" si="4"/>
        <v>2</v>
      </c>
      <c r="F147" s="1">
        <f>_xlfn.IFNA(VLOOKUP($C147,お客様データ添付!$G:$J,4,FALSE),0)+
_xlfn.IFNA(VLOOKUP($C147,お客様データ添付!$N:$Q,4,FALSE),0)+
_xlfn.IFNA(VLOOKUP($C147,お客様データ添付!$U:$X,4,FALSE),0)+
_xlfn.IFNA(VLOOKUP($C147,お客様データ添付!$AB:$AE,4,FALSE),0)+
_xlfn.IFNA(VLOOKUP($C147,お客様データ添付!$AI:$AL,4,FALSE),0)</f>
        <v>0</v>
      </c>
    </row>
    <row r="148" spans="1:6">
      <c r="A148" s="1">
        <f>_xlfn.IFNA(_xlfn.IFNA(_xlfn.IFNA(_xlfn.IFNA(_xlfn.XLOOKUP(C148,お客様データ添付!G:G,お客様データ添付!E:E),_xlfn.XLOOKUP(C148,お客様データ添付!N:N,お客様データ添付!L:L)),_xlfn.XLOOKUP(C148,お客様データ添付!U:U,お客様データ添付!S:S)),_xlfn.XLOOKUP(C148,お客様データ添付!AB:AB,お客様データ添付!Z:Z)),_xlfn.XLOOKUP(C148,お客様データ添付!AI:AI,お客様データ添付!AG:AG))</f>
        <v>517</v>
      </c>
      <c r="B148" t="s">
        <v>2802</v>
      </c>
      <c r="C148" t="s">
        <v>1655</v>
      </c>
      <c r="D148" s="1">
        <f>IF(C148&lt;&gt;"",MATCH(C148,お客様データリスト!$A$2:$MV$2,0),"")</f>
        <v>300</v>
      </c>
      <c r="E148" s="1">
        <f t="shared" ca="1" si="4"/>
        <v>1</v>
      </c>
      <c r="F148" s="1">
        <f>_xlfn.IFNA(VLOOKUP($C148,お客様データ添付!$G:$J,4,FALSE),0)+
_xlfn.IFNA(VLOOKUP($C148,お客様データ添付!$N:$Q,4,FALSE),0)+
_xlfn.IFNA(VLOOKUP($C148,お客様データ添付!$U:$X,4,FALSE),0)+
_xlfn.IFNA(VLOOKUP($C148,お客様データ添付!$AB:$AE,4,FALSE),0)+
_xlfn.IFNA(VLOOKUP($C148,お客様データ添付!$AI:$AL,4,FALSE),0)</f>
        <v>0</v>
      </c>
    </row>
    <row r="149" spans="1:6">
      <c r="A149" s="1">
        <f>_xlfn.IFNA(_xlfn.IFNA(_xlfn.IFNA(_xlfn.IFNA(_xlfn.XLOOKUP(C149,お客様データ添付!G:G,お客様データ添付!E:E),_xlfn.XLOOKUP(C149,お客様データ添付!N:N,お客様データ添付!L:L)),_xlfn.XLOOKUP(C149,お客様データ添付!U:U,お客様データ添付!S:S)),_xlfn.XLOOKUP(C149,お客様データ添付!AB:AB,お客様データ添付!Z:Z)),_xlfn.XLOOKUP(C149,お客様データ添付!AI:AI,お客様データ添付!AG:AG))</f>
        <v>518</v>
      </c>
      <c r="B149" t="s">
        <v>2803</v>
      </c>
      <c r="C149" t="s">
        <v>1656</v>
      </c>
      <c r="D149" s="1">
        <f>IF(C149&lt;&gt;"",MATCH(C149,お客様データリスト!$A$2:$MV$2,0),"")</f>
        <v>302</v>
      </c>
      <c r="E149" s="1">
        <f t="shared" ca="1" si="4"/>
        <v>1</v>
      </c>
      <c r="F149" s="1">
        <f>_xlfn.IFNA(VLOOKUP($C149,お客様データ添付!$G:$J,4,FALSE),0)+
_xlfn.IFNA(VLOOKUP($C149,お客様データ添付!$N:$Q,4,FALSE),0)+
_xlfn.IFNA(VLOOKUP($C149,お客様データ添付!$U:$X,4,FALSE),0)+
_xlfn.IFNA(VLOOKUP($C149,お客様データ添付!$AB:$AE,4,FALSE),0)+
_xlfn.IFNA(VLOOKUP($C149,お客様データ添付!$AI:$AL,4,FALSE),0)</f>
        <v>0</v>
      </c>
    </row>
    <row r="150" spans="1:6">
      <c r="A150" s="1">
        <f>_xlfn.IFNA(_xlfn.IFNA(_xlfn.IFNA(_xlfn.IFNA(_xlfn.XLOOKUP(C150,お客様データ添付!G:G,お客様データ添付!E:E),_xlfn.XLOOKUP(C150,お客様データ添付!N:N,お客様データ添付!L:L)),_xlfn.XLOOKUP(C150,お客様データ添付!U:U,お客様データ添付!S:S)),_xlfn.XLOOKUP(C150,お客様データ添付!AB:AB,お客様データ添付!Z:Z)),_xlfn.XLOOKUP(C150,お客様データ添付!AI:AI,お客様データ添付!AG:AG))</f>
        <v>519</v>
      </c>
      <c r="B150" t="s">
        <v>2804</v>
      </c>
      <c r="C150" t="s">
        <v>1657</v>
      </c>
      <c r="D150" s="1">
        <f>IF(C150&lt;&gt;"",MATCH(C150,お客様データリスト!$A$2:$MV$2,0),"")</f>
        <v>304</v>
      </c>
      <c r="E150" s="1">
        <f t="shared" ca="1" si="4"/>
        <v>1</v>
      </c>
      <c r="F150" s="1">
        <f>_xlfn.IFNA(VLOOKUP($C150,お客様データ添付!$G:$J,4,FALSE),0)+
_xlfn.IFNA(VLOOKUP($C150,お客様データ添付!$N:$Q,4,FALSE),0)+
_xlfn.IFNA(VLOOKUP($C150,お客様データ添付!$U:$X,4,FALSE),0)+
_xlfn.IFNA(VLOOKUP($C150,お客様データ添付!$AB:$AE,4,FALSE),0)+
_xlfn.IFNA(VLOOKUP($C150,お客様データ添付!$AI:$AL,4,FALSE),0)</f>
        <v>0</v>
      </c>
    </row>
    <row r="151" spans="1:6">
      <c r="A151" s="1">
        <f>_xlfn.IFNA(_xlfn.IFNA(_xlfn.IFNA(_xlfn.IFNA(_xlfn.XLOOKUP(C151,お客様データ添付!G:G,お客様データ添付!E:E),_xlfn.XLOOKUP(C151,お客様データ添付!N:N,お客様データ添付!L:L)),_xlfn.XLOOKUP(C151,お客様データ添付!U:U,お客様データ添付!S:S)),_xlfn.XLOOKUP(C151,お客様データ添付!AB:AB,お客様データ添付!Z:Z)),_xlfn.XLOOKUP(C151,お客様データ添付!AI:AI,お客様データ添付!AG:AG))</f>
        <v>520</v>
      </c>
      <c r="B151" t="s">
        <v>2805</v>
      </c>
      <c r="C151" t="s">
        <v>1658</v>
      </c>
      <c r="D151" s="1">
        <f>IF(C151&lt;&gt;"",MATCH(C151,お客様データリスト!$A$2:$MV$2,0),"")</f>
        <v>306</v>
      </c>
      <c r="E151" s="1">
        <f t="shared" ca="1" si="4"/>
        <v>1</v>
      </c>
      <c r="F151" s="1">
        <f>_xlfn.IFNA(VLOOKUP($C151,お客様データ添付!$G:$J,4,FALSE),0)+
_xlfn.IFNA(VLOOKUP($C151,お客様データ添付!$N:$Q,4,FALSE),0)+
_xlfn.IFNA(VLOOKUP($C151,お客様データ添付!$U:$X,4,FALSE),0)+
_xlfn.IFNA(VLOOKUP($C151,お客様データ添付!$AB:$AE,4,FALSE),0)+
_xlfn.IFNA(VLOOKUP($C151,お客様データ添付!$AI:$AL,4,FALSE),0)</f>
        <v>0</v>
      </c>
    </row>
    <row r="152" spans="1:6">
      <c r="A152" s="1">
        <f>_xlfn.IFNA(_xlfn.IFNA(_xlfn.IFNA(_xlfn.IFNA(_xlfn.XLOOKUP(C152,お客様データ添付!G:G,お客様データ添付!E:E),_xlfn.XLOOKUP(C152,お客様データ添付!N:N,お客様データ添付!L:L)),_xlfn.XLOOKUP(C152,お客様データ添付!U:U,お客様データ添付!S:S)),_xlfn.XLOOKUP(C152,お客様データ添付!AB:AB,お客様データ添付!Z:Z)),_xlfn.XLOOKUP(C152,お客様データ添付!AI:AI,お客様データ添付!AG:AG))</f>
        <v>533</v>
      </c>
      <c r="B152" t="s">
        <v>2820</v>
      </c>
      <c r="C152" t="s">
        <v>1659</v>
      </c>
      <c r="D152" s="1">
        <f>IF(C152&lt;&gt;"",MATCH(C152,お客様データリスト!$A$2:$MV$2,0),"")</f>
        <v>308</v>
      </c>
      <c r="E152" s="1">
        <f t="shared" ca="1" si="4"/>
        <v>1</v>
      </c>
      <c r="F152" s="1">
        <f>_xlfn.IFNA(VLOOKUP($C152,お客様データ添付!$G:$J,4,FALSE),0)+
_xlfn.IFNA(VLOOKUP($C152,お客様データ添付!$N:$Q,4,FALSE),0)+
_xlfn.IFNA(VLOOKUP($C152,お客様データ添付!$U:$X,4,FALSE),0)+
_xlfn.IFNA(VLOOKUP($C152,お客様データ添付!$AB:$AE,4,FALSE),0)+
_xlfn.IFNA(VLOOKUP($C152,お客様データ添付!$AI:$AL,4,FALSE),0)</f>
        <v>0</v>
      </c>
    </row>
    <row r="153" spans="1:6">
      <c r="A153" s="1">
        <f>_xlfn.IFNA(_xlfn.IFNA(_xlfn.IFNA(_xlfn.IFNA(_xlfn.XLOOKUP(C153,お客様データ添付!G:G,お客様データ添付!E:E),_xlfn.XLOOKUP(C153,お客様データ添付!N:N,お客様データ添付!L:L)),_xlfn.XLOOKUP(C153,お客様データ添付!U:U,お客様データ添付!S:S)),_xlfn.XLOOKUP(C153,お客様データ添付!AB:AB,お客様データ添付!Z:Z)),_xlfn.XLOOKUP(C153,お客様データ添付!AI:AI,お客様データ添付!AG:AG))</f>
        <v>521</v>
      </c>
      <c r="B153" t="s">
        <v>2806</v>
      </c>
      <c r="C153" t="s">
        <v>1660</v>
      </c>
      <c r="D153" s="1">
        <f>IF(C153&lt;&gt;"",MATCH(C153,お客様データリスト!$A$2:$MV$2,0),"")</f>
        <v>310</v>
      </c>
      <c r="E153" s="1">
        <f t="shared" ca="1" si="4"/>
        <v>0</v>
      </c>
      <c r="F153" s="1">
        <f>_xlfn.IFNA(VLOOKUP($C153,お客様データ添付!$G:$J,4,FALSE),0)+
_xlfn.IFNA(VLOOKUP($C153,お客様データ添付!$N:$Q,4,FALSE),0)+
_xlfn.IFNA(VLOOKUP($C153,お客様データ添付!$U:$X,4,FALSE),0)+
_xlfn.IFNA(VLOOKUP($C153,お客様データ添付!$AB:$AE,4,FALSE),0)+
_xlfn.IFNA(VLOOKUP($C153,お客様データ添付!$AI:$AL,4,FALSE),0)</f>
        <v>0</v>
      </c>
    </row>
    <row r="154" spans="1:6">
      <c r="A154" s="1">
        <f>_xlfn.IFNA(_xlfn.IFNA(_xlfn.IFNA(_xlfn.IFNA(_xlfn.XLOOKUP(C154,お客様データ添付!G:G,お客様データ添付!E:E),_xlfn.XLOOKUP(C154,お客様データ添付!N:N,お客様データ添付!L:L)),_xlfn.XLOOKUP(C154,お客様データ添付!U:U,お客様データ添付!S:S)),_xlfn.XLOOKUP(C154,お客様データ添付!AB:AB,お客様データ添付!Z:Z)),_xlfn.XLOOKUP(C154,お客様データ添付!AI:AI,お客様データ添付!AG:AG))</f>
        <v>522</v>
      </c>
      <c r="B154" t="s">
        <v>2807</v>
      </c>
      <c r="C154" t="s">
        <v>1661</v>
      </c>
      <c r="D154" s="1">
        <f>IF(C154&lt;&gt;"",MATCH(C154,お客様データリスト!$A$2:$MV$2,0),"")</f>
        <v>312</v>
      </c>
      <c r="E154" s="1">
        <f t="shared" ca="1" si="4"/>
        <v>2</v>
      </c>
      <c r="F154" s="1">
        <f>_xlfn.IFNA(VLOOKUP($C154,お客様データ添付!$G:$J,4,FALSE),0)+
_xlfn.IFNA(VLOOKUP($C154,お客様データ添付!$N:$Q,4,FALSE),0)+
_xlfn.IFNA(VLOOKUP($C154,お客様データ添付!$U:$X,4,FALSE),0)+
_xlfn.IFNA(VLOOKUP($C154,お客様データ添付!$AB:$AE,4,FALSE),0)+
_xlfn.IFNA(VLOOKUP($C154,お客様データ添付!$AI:$AL,4,FALSE),0)</f>
        <v>0</v>
      </c>
    </row>
    <row r="155" spans="1:6">
      <c r="A155" s="1">
        <f>_xlfn.IFNA(_xlfn.IFNA(_xlfn.IFNA(_xlfn.IFNA(_xlfn.XLOOKUP(C155,お客様データ添付!G:G,お客様データ添付!E:E),_xlfn.XLOOKUP(C155,お客様データ添付!N:N,お客様データ添付!L:L)),_xlfn.XLOOKUP(C155,お客様データ添付!U:U,お客様データ添付!S:S)),_xlfn.XLOOKUP(C155,お客様データ添付!AB:AB,お客様データ添付!Z:Z)),_xlfn.XLOOKUP(C155,お客様データ添付!AI:AI,お客様データ添付!AG:AG))</f>
        <v>113</v>
      </c>
      <c r="B155" t="s">
        <v>2651</v>
      </c>
      <c r="C155" t="s">
        <v>1437</v>
      </c>
      <c r="D155" s="1">
        <f>IF(C155&lt;&gt;"",MATCH(C155,お客様データリスト!$A$2:$MV$2,0),"")</f>
        <v>314</v>
      </c>
      <c r="E155" s="1">
        <f t="shared" ca="1" si="4"/>
        <v>1</v>
      </c>
      <c r="F155" s="1">
        <f>_xlfn.IFNA(VLOOKUP($C155,お客様データ添付!$G:$J,4,FALSE),0)+
_xlfn.IFNA(VLOOKUP($C155,お客様データ添付!$N:$Q,4,FALSE),0)+
_xlfn.IFNA(VLOOKUP($C155,お客様データ添付!$U:$X,4,FALSE),0)+
_xlfn.IFNA(VLOOKUP($C155,お客様データ添付!$AB:$AE,4,FALSE),0)+
_xlfn.IFNA(VLOOKUP($C155,お客様データ添付!$AI:$AL,4,FALSE),0)</f>
        <v>0</v>
      </c>
    </row>
    <row r="156" spans="1:6">
      <c r="A156" s="1">
        <f>_xlfn.IFNA(_xlfn.IFNA(_xlfn.IFNA(_xlfn.IFNA(_xlfn.XLOOKUP(C156,お客様データ添付!G:G,お客様データ添付!E:E),_xlfn.XLOOKUP(C156,お客様データ添付!N:N,お客様データ添付!L:L)),_xlfn.XLOOKUP(C156,お客様データ添付!U:U,お客様データ添付!S:S)),_xlfn.XLOOKUP(C156,お客様データ添付!AB:AB,お客様データ添付!Z:Z)),_xlfn.XLOOKUP(C156,お客様データ添付!AI:AI,お客様データ添付!AG:AG))</f>
        <v>510</v>
      </c>
      <c r="B156" t="s">
        <v>2793</v>
      </c>
      <c r="C156" t="s">
        <v>1438</v>
      </c>
      <c r="D156" s="1">
        <f>IF(C156&lt;&gt;"",MATCH(C156,お客様データリスト!$A$2:$MV$2,0),"")</f>
        <v>316</v>
      </c>
      <c r="E156" s="1">
        <f t="shared" ca="1" si="4"/>
        <v>0</v>
      </c>
      <c r="F156" s="1">
        <f>_xlfn.IFNA(VLOOKUP($C156,お客様データ添付!$G:$J,4,FALSE),0)+
_xlfn.IFNA(VLOOKUP($C156,お客様データ添付!$N:$Q,4,FALSE),0)+
_xlfn.IFNA(VLOOKUP($C156,お客様データ添付!$U:$X,4,FALSE),0)+
_xlfn.IFNA(VLOOKUP($C156,お客様データ添付!$AB:$AE,4,FALSE),0)+
_xlfn.IFNA(VLOOKUP($C156,お客様データ添付!$AI:$AL,4,FALSE),0)</f>
        <v>0</v>
      </c>
    </row>
    <row r="157" spans="1:6">
      <c r="A157" s="1">
        <f>_xlfn.IFNA(_xlfn.IFNA(_xlfn.IFNA(_xlfn.IFNA(_xlfn.XLOOKUP(C157,お客様データ添付!G:G,お客様データ添付!E:E),_xlfn.XLOOKUP(C157,お客様データ添付!N:N,お客様データ添付!L:L)),_xlfn.XLOOKUP(C157,お客様データ添付!U:U,お客様データ添付!S:S)),_xlfn.XLOOKUP(C157,お客様データ添付!AB:AB,お客様データ添付!Z:Z)),_xlfn.XLOOKUP(C157,お客様データ添付!AI:AI,お客様データ添付!AG:AG))</f>
        <v>511</v>
      </c>
      <c r="B157" t="s">
        <v>2794</v>
      </c>
      <c r="C157" t="s">
        <v>1439</v>
      </c>
      <c r="D157" s="1">
        <f>IF(C157&lt;&gt;"",MATCH(C157,お客様データリスト!$A$2:$MV$2,0),"")</f>
        <v>318</v>
      </c>
      <c r="E157" s="1">
        <f t="shared" ca="1" si="4"/>
        <v>0</v>
      </c>
      <c r="F157" s="1">
        <f>_xlfn.IFNA(VLOOKUP($C157,お客様データ添付!$G:$J,4,FALSE),0)+
_xlfn.IFNA(VLOOKUP($C157,お客様データ添付!$N:$Q,4,FALSE),0)+
_xlfn.IFNA(VLOOKUP($C157,お客様データ添付!$U:$X,4,FALSE),0)+
_xlfn.IFNA(VLOOKUP($C157,お客様データ添付!$AB:$AE,4,FALSE),0)+
_xlfn.IFNA(VLOOKUP($C157,お客様データ添付!$AI:$AL,4,FALSE),0)</f>
        <v>0</v>
      </c>
    </row>
    <row r="158" spans="1:6">
      <c r="A158" s="1">
        <f>_xlfn.IFNA(_xlfn.IFNA(_xlfn.IFNA(_xlfn.IFNA(_xlfn.XLOOKUP(C158,お客様データ添付!G:G,お客様データ添付!E:E),_xlfn.XLOOKUP(C158,お客様データ添付!N:N,お客様データ添付!L:L)),_xlfn.XLOOKUP(C158,お客様データ添付!U:U,お客様データ添付!S:S)),_xlfn.XLOOKUP(C158,お客様データ添付!AB:AB,お客様データ添付!Z:Z)),_xlfn.XLOOKUP(C158,お客様データ添付!AI:AI,お客様データ添付!AG:AG))</f>
        <v>512</v>
      </c>
      <c r="B158" t="s">
        <v>2795</v>
      </c>
      <c r="C158" t="s">
        <v>1440</v>
      </c>
      <c r="D158" s="1">
        <f>IF(C158&lt;&gt;"",MATCH(C158,お客様データリスト!$A$2:$MV$2,0),"")</f>
        <v>320</v>
      </c>
      <c r="E158" s="1">
        <f t="shared" ca="1" si="4"/>
        <v>0</v>
      </c>
      <c r="F158" s="1">
        <f>_xlfn.IFNA(VLOOKUP($C158,お客様データ添付!$G:$J,4,FALSE),0)+
_xlfn.IFNA(VLOOKUP($C158,お客様データ添付!$N:$Q,4,FALSE),0)+
_xlfn.IFNA(VLOOKUP($C158,お客様データ添付!$U:$X,4,FALSE),0)+
_xlfn.IFNA(VLOOKUP($C158,お客様データ添付!$AB:$AE,4,FALSE),0)+
_xlfn.IFNA(VLOOKUP($C158,お客様データ添付!$AI:$AL,4,FALSE),0)</f>
        <v>0</v>
      </c>
    </row>
    <row r="159" spans="1:6">
      <c r="A159" s="1">
        <f>_xlfn.IFNA(_xlfn.IFNA(_xlfn.IFNA(_xlfn.IFNA(_xlfn.XLOOKUP(C159,お客様データ添付!G:G,お客様データ添付!E:E),_xlfn.XLOOKUP(C159,お客様データ添付!N:N,お客様データ添付!L:L)),_xlfn.XLOOKUP(C159,お客様データ添付!U:U,お客様データ添付!S:S)),_xlfn.XLOOKUP(C159,お客様データ添付!AB:AB,お客様データ添付!Z:Z)),_xlfn.XLOOKUP(C159,お客様データ添付!AI:AI,お客様データ添付!AG:AG))</f>
        <v>513</v>
      </c>
      <c r="B159" t="s">
        <v>2796</v>
      </c>
      <c r="C159" t="s">
        <v>1441</v>
      </c>
      <c r="D159" s="1">
        <f>IF(C159&lt;&gt;"",MATCH(C159,お客様データリスト!$A$2:$MV$2,0),"")</f>
        <v>322</v>
      </c>
      <c r="E159" s="1">
        <f t="shared" ca="1" si="4"/>
        <v>0</v>
      </c>
      <c r="F159" s="1">
        <f>_xlfn.IFNA(VLOOKUP($C159,お客様データ添付!$G:$J,4,FALSE),0)+
_xlfn.IFNA(VLOOKUP($C159,お客様データ添付!$N:$Q,4,FALSE),0)+
_xlfn.IFNA(VLOOKUP($C159,お客様データ添付!$U:$X,4,FALSE),0)+
_xlfn.IFNA(VLOOKUP($C159,お客様データ添付!$AB:$AE,4,FALSE),0)+
_xlfn.IFNA(VLOOKUP($C159,お客様データ添付!$AI:$AL,4,FALSE),0)</f>
        <v>0</v>
      </c>
    </row>
    <row r="160" spans="1:6">
      <c r="A160" s="1">
        <f>_xlfn.IFNA(_xlfn.IFNA(_xlfn.IFNA(_xlfn.IFNA(_xlfn.XLOOKUP(C160,お客様データ添付!G:G,お客様データ添付!E:E),_xlfn.XLOOKUP(C160,お客様データ添付!N:N,お客様データ添付!L:L)),_xlfn.XLOOKUP(C160,お客様データ添付!U:U,お客様データ添付!S:S)),_xlfn.XLOOKUP(C160,お客様データ添付!AB:AB,お客様データ添付!Z:Z)),_xlfn.XLOOKUP(C160,お客様データ添付!AI:AI,お客様データ添付!AG:AG))</f>
        <v>514</v>
      </c>
      <c r="B160" t="s">
        <v>2797</v>
      </c>
      <c r="C160" t="s">
        <v>1442</v>
      </c>
      <c r="D160" s="1">
        <f>IF(C160&lt;&gt;"",MATCH(C160,お客様データリスト!$A$2:$MV$2,0),"")</f>
        <v>324</v>
      </c>
      <c r="E160" s="1">
        <f t="shared" ca="1" si="4"/>
        <v>0</v>
      </c>
      <c r="F160" s="1">
        <f>_xlfn.IFNA(VLOOKUP($C160,お客様データ添付!$G:$J,4,FALSE),0)+
_xlfn.IFNA(VLOOKUP($C160,お客様データ添付!$N:$Q,4,FALSE),0)+
_xlfn.IFNA(VLOOKUP($C160,お客様データ添付!$U:$X,4,FALSE),0)+
_xlfn.IFNA(VLOOKUP($C160,お客様データ添付!$AB:$AE,4,FALSE),0)+
_xlfn.IFNA(VLOOKUP($C160,お客様データ添付!$AI:$AL,4,FALSE),0)</f>
        <v>0</v>
      </c>
    </row>
    <row r="161" spans="1:6">
      <c r="A161" s="1">
        <f>_xlfn.IFNA(_xlfn.IFNA(_xlfn.IFNA(_xlfn.IFNA(_xlfn.XLOOKUP(C161,お客様データ添付!G:G,お客様データ添付!E:E),_xlfn.XLOOKUP(C161,お客様データ添付!N:N,お客様データ添付!L:L)),_xlfn.XLOOKUP(C161,お客様データ添付!U:U,お客様データ添付!S:S)),_xlfn.XLOOKUP(C161,お客様データ添付!AB:AB,お客様データ添付!Z:Z)),_xlfn.XLOOKUP(C161,お客様データ添付!AI:AI,お客様データ添付!AG:AG))</f>
        <v>114</v>
      </c>
      <c r="B161" t="s">
        <v>2652</v>
      </c>
      <c r="C161" t="s">
        <v>2840</v>
      </c>
      <c r="D161" s="1">
        <f>IF(C161&lt;&gt;"",MATCH(C161,お客様データリスト!$A$2:$MV$2,0),"")</f>
        <v>326</v>
      </c>
      <c r="E161" s="1">
        <f t="shared" ca="1" si="4"/>
        <v>1</v>
      </c>
      <c r="F161" s="1">
        <f>_xlfn.IFNA(VLOOKUP($C161,お客様データ添付!$G:$J,4,FALSE),0)+
_xlfn.IFNA(VLOOKUP($C161,お客様データ添付!$N:$Q,4,FALSE),0)+
_xlfn.IFNA(VLOOKUP($C161,お客様データ添付!$U:$X,4,FALSE),0)+
_xlfn.IFNA(VLOOKUP($C161,お客様データ添付!$AB:$AE,4,FALSE),0)+
_xlfn.IFNA(VLOOKUP($C161,お客様データ添付!$AI:$AL,4,FALSE),0)</f>
        <v>0</v>
      </c>
    </row>
    <row r="162" spans="1:6">
      <c r="A162" s="1">
        <f>_xlfn.IFNA(_xlfn.IFNA(_xlfn.IFNA(_xlfn.IFNA(_xlfn.XLOOKUP(C162,お客様データ添付!G:G,お客様データ添付!E:E),_xlfn.XLOOKUP(C162,お客様データ添付!N:N,お客様データ添付!L:L)),_xlfn.XLOOKUP(C162,お客様データ添付!U:U,お客様データ添付!S:S)),_xlfn.XLOOKUP(C162,お客様データ添付!AB:AB,お客様データ添付!Z:Z)),_xlfn.XLOOKUP(C162,お客様データ添付!AI:AI,お客様データ添付!AG:AG))</f>
        <v>523</v>
      </c>
      <c r="B162" t="s">
        <v>2810</v>
      </c>
      <c r="C162" t="s">
        <v>1444</v>
      </c>
      <c r="D162" s="1">
        <f>IF(C162&lt;&gt;"",MATCH(C162,お客様データリスト!$A$2:$MV$2,0),"")</f>
        <v>328</v>
      </c>
      <c r="E162" s="1">
        <f t="shared" ca="1" si="4"/>
        <v>0</v>
      </c>
      <c r="F162" s="1">
        <f>_xlfn.IFNA(VLOOKUP($C162,お客様データ添付!$G:$J,4,FALSE),0)+
_xlfn.IFNA(VLOOKUP($C162,お客様データ添付!$N:$Q,4,FALSE),0)+
_xlfn.IFNA(VLOOKUP($C162,お客様データ添付!$U:$X,4,FALSE),0)+
_xlfn.IFNA(VLOOKUP($C162,お客様データ添付!$AB:$AE,4,FALSE),0)+
_xlfn.IFNA(VLOOKUP($C162,お客様データ添付!$AI:$AL,4,FALSE),0)</f>
        <v>0</v>
      </c>
    </row>
    <row r="163" spans="1:6">
      <c r="A163" s="1">
        <f>_xlfn.IFNA(_xlfn.IFNA(_xlfn.IFNA(_xlfn.IFNA(_xlfn.XLOOKUP(C163,お客様データ添付!G:G,お客様データ添付!E:E),_xlfn.XLOOKUP(C163,お客様データ添付!N:N,お客様データ添付!L:L)),_xlfn.XLOOKUP(C163,お客様データ添付!U:U,お客様データ添付!S:S)),_xlfn.XLOOKUP(C163,お客様データ添付!AB:AB,お客様データ添付!Z:Z)),_xlfn.XLOOKUP(C163,お客様データ添付!AI:AI,お客様データ添付!AG:AG))</f>
        <v>524</v>
      </c>
      <c r="B163" t="s">
        <v>2811</v>
      </c>
      <c r="C163" t="s">
        <v>1445</v>
      </c>
      <c r="D163" s="1">
        <f>IF(C163&lt;&gt;"",MATCH(C163,お客様データリスト!$A$2:$MV$2,0),"")</f>
        <v>330</v>
      </c>
      <c r="E163" s="1">
        <f t="shared" ca="1" si="4"/>
        <v>1</v>
      </c>
      <c r="F163" s="1">
        <f>_xlfn.IFNA(VLOOKUP($C163,お客様データ添付!$G:$J,4,FALSE),0)+
_xlfn.IFNA(VLOOKUP($C163,お客様データ添付!$N:$Q,4,FALSE),0)+
_xlfn.IFNA(VLOOKUP($C163,お客様データ添付!$U:$X,4,FALSE),0)+
_xlfn.IFNA(VLOOKUP($C163,お客様データ添付!$AB:$AE,4,FALSE),0)+
_xlfn.IFNA(VLOOKUP($C163,お客様データ添付!$AI:$AL,4,FALSE),0)</f>
        <v>0</v>
      </c>
    </row>
    <row r="164" spans="1:6">
      <c r="A164" s="1">
        <f>_xlfn.IFNA(_xlfn.IFNA(_xlfn.IFNA(_xlfn.IFNA(_xlfn.XLOOKUP(C164,お客様データ添付!G:G,お客様データ添付!E:E),_xlfn.XLOOKUP(C164,お客様データ添付!N:N,お客様データ添付!L:L)),_xlfn.XLOOKUP(C164,お客様データ添付!U:U,お客様データ添付!S:S)),_xlfn.XLOOKUP(C164,お客様データ添付!AB:AB,お客様データ添付!Z:Z)),_xlfn.XLOOKUP(C164,お客様データ添付!AI:AI,お客様データ添付!AG:AG))</f>
        <v>525</v>
      </c>
      <c r="B164" t="s">
        <v>2812</v>
      </c>
      <c r="C164" t="s">
        <v>1446</v>
      </c>
      <c r="D164" s="1">
        <f>IF(C164&lt;&gt;"",MATCH(C164,お客様データリスト!$A$2:$MV$2,0),"")</f>
        <v>332</v>
      </c>
      <c r="E164" s="1">
        <f t="shared" ca="1" si="4"/>
        <v>1</v>
      </c>
      <c r="F164" s="1">
        <f>_xlfn.IFNA(VLOOKUP($C164,お客様データ添付!$G:$J,4,FALSE),0)+
_xlfn.IFNA(VLOOKUP($C164,お客様データ添付!$N:$Q,4,FALSE),0)+
_xlfn.IFNA(VLOOKUP($C164,お客様データ添付!$U:$X,4,FALSE),0)+
_xlfn.IFNA(VLOOKUP($C164,お客様データ添付!$AB:$AE,4,FALSE),0)+
_xlfn.IFNA(VLOOKUP($C164,お客様データ添付!$AI:$AL,4,FALSE),0)</f>
        <v>0</v>
      </c>
    </row>
    <row r="165" spans="1:6">
      <c r="A165" s="1">
        <f>_xlfn.IFNA(_xlfn.IFNA(_xlfn.IFNA(_xlfn.IFNA(_xlfn.XLOOKUP(C165,お客様データ添付!G:G,お客様データ添付!E:E),_xlfn.XLOOKUP(C165,お客様データ添付!N:N,お客様データ添付!L:L)),_xlfn.XLOOKUP(C165,お客様データ添付!U:U,お客様データ添付!S:S)),_xlfn.XLOOKUP(C165,お客様データ添付!AB:AB,お客様データ添付!Z:Z)),_xlfn.XLOOKUP(C165,お客様データ添付!AI:AI,お客様データ添付!AG:AG))</f>
        <v>526</v>
      </c>
      <c r="B165" t="s">
        <v>2813</v>
      </c>
      <c r="C165" t="s">
        <v>1447</v>
      </c>
      <c r="D165" s="1">
        <f>IF(C165&lt;&gt;"",MATCH(C165,お客様データリスト!$A$2:$MV$2,0),"")</f>
        <v>334</v>
      </c>
      <c r="E165" s="1">
        <f t="shared" ca="1" si="4"/>
        <v>0</v>
      </c>
      <c r="F165" s="1">
        <f>_xlfn.IFNA(VLOOKUP($C165,お客様データ添付!$G:$J,4,FALSE),0)+
_xlfn.IFNA(VLOOKUP($C165,お客様データ添付!$N:$Q,4,FALSE),0)+
_xlfn.IFNA(VLOOKUP($C165,お客様データ添付!$U:$X,4,FALSE),0)+
_xlfn.IFNA(VLOOKUP($C165,お客様データ添付!$AB:$AE,4,FALSE),0)+
_xlfn.IFNA(VLOOKUP($C165,お客様データ添付!$AI:$AL,4,FALSE),0)</f>
        <v>0</v>
      </c>
    </row>
    <row r="166" spans="1:6">
      <c r="A166" s="1">
        <f>_xlfn.IFNA(_xlfn.IFNA(_xlfn.IFNA(_xlfn.IFNA(_xlfn.XLOOKUP(C166,お客様データ添付!G:G,お客様データ添付!E:E),_xlfn.XLOOKUP(C166,お客様データ添付!N:N,お客様データ添付!L:L)),_xlfn.XLOOKUP(C166,お客様データ添付!U:U,お客様データ添付!S:S)),_xlfn.XLOOKUP(C166,お客様データ添付!AB:AB,お客様データ添付!Z:Z)),_xlfn.XLOOKUP(C166,お客様データ添付!AI:AI,お客様データ添付!AG:AG))</f>
        <v>527</v>
      </c>
      <c r="B166" t="s">
        <v>2814</v>
      </c>
      <c r="C166" t="s">
        <v>1448</v>
      </c>
      <c r="D166" s="1">
        <f>IF(C166&lt;&gt;"",MATCH(C166,お客様データリスト!$A$2:$MV$2,0),"")</f>
        <v>336</v>
      </c>
      <c r="E166" s="1">
        <f t="shared" ca="1" si="4"/>
        <v>1</v>
      </c>
      <c r="F166" s="1">
        <f>_xlfn.IFNA(VLOOKUP($C166,お客様データ添付!$G:$J,4,FALSE),0)+
_xlfn.IFNA(VLOOKUP($C166,お客様データ添付!$N:$Q,4,FALSE),0)+
_xlfn.IFNA(VLOOKUP($C166,お客様データ添付!$U:$X,4,FALSE),0)+
_xlfn.IFNA(VLOOKUP($C166,お客様データ添付!$AB:$AE,4,FALSE),0)+
_xlfn.IFNA(VLOOKUP($C166,お客様データ添付!$AI:$AL,4,FALSE),0)</f>
        <v>0</v>
      </c>
    </row>
    <row r="167" spans="1:6">
      <c r="A167" s="1">
        <f>_xlfn.IFNA(_xlfn.IFNA(_xlfn.IFNA(_xlfn.IFNA(_xlfn.XLOOKUP(C167,お客様データ添付!G:G,お客様データ添付!E:E),_xlfn.XLOOKUP(C167,お客様データ添付!N:N,お客様データ添付!L:L)),_xlfn.XLOOKUP(C167,お客様データ添付!U:U,お客様データ添付!S:S)),_xlfn.XLOOKUP(C167,お客様データ添付!AB:AB,お客様データ添付!Z:Z)),_xlfn.XLOOKUP(C167,お客様データ添付!AI:AI,お客様データ添付!AG:AG))</f>
        <v>528</v>
      </c>
      <c r="B167" t="s">
        <v>2815</v>
      </c>
      <c r="C167" t="s">
        <v>1449</v>
      </c>
      <c r="D167" s="1">
        <f>IF(C167&lt;&gt;"",MATCH(C167,お客様データリスト!$A$2:$MV$2,0),"")</f>
        <v>338</v>
      </c>
      <c r="E167" s="1">
        <f t="shared" ca="1" si="4"/>
        <v>0</v>
      </c>
      <c r="F167" s="1">
        <f>_xlfn.IFNA(VLOOKUP($C167,お客様データ添付!$G:$J,4,FALSE),0)+
_xlfn.IFNA(VLOOKUP($C167,お客様データ添付!$N:$Q,4,FALSE),0)+
_xlfn.IFNA(VLOOKUP($C167,お客様データ添付!$U:$X,4,FALSE),0)+
_xlfn.IFNA(VLOOKUP($C167,お客様データ添付!$AB:$AE,4,FALSE),0)+
_xlfn.IFNA(VLOOKUP($C167,お客様データ添付!$AI:$AL,4,FALSE),0)</f>
        <v>0</v>
      </c>
    </row>
    <row r="168" spans="1:6">
      <c r="A168" s="1">
        <f>_xlfn.IFNA(_xlfn.IFNA(_xlfn.IFNA(_xlfn.IFNA(_xlfn.XLOOKUP(C168,お客様データ添付!G:G,お客様データ添付!E:E),_xlfn.XLOOKUP(C168,お客様データ添付!N:N,お客様データ添付!L:L)),_xlfn.XLOOKUP(C168,お客様データ添付!U:U,お客様データ添付!S:S)),_xlfn.XLOOKUP(C168,お客様データ添付!AB:AB,お客様データ添付!Z:Z)),_xlfn.XLOOKUP(C168,お客様データ添付!AI:AI,お客様データ添付!AG:AG))</f>
        <v>529</v>
      </c>
      <c r="B168" t="s">
        <v>2816</v>
      </c>
      <c r="C168" t="s">
        <v>1450</v>
      </c>
      <c r="D168" s="1">
        <f>IF(C168&lt;&gt;"",MATCH(C168,お客様データリスト!$A$2:$MV$2,0),"")</f>
        <v>340</v>
      </c>
      <c r="E168" s="1">
        <f t="shared" ca="1" si="4"/>
        <v>1</v>
      </c>
      <c r="F168" s="1">
        <f>_xlfn.IFNA(VLOOKUP($C168,お客様データ添付!$G:$J,4,FALSE),0)+
_xlfn.IFNA(VLOOKUP($C168,お客様データ添付!$N:$Q,4,FALSE),0)+
_xlfn.IFNA(VLOOKUP($C168,お客様データ添付!$U:$X,4,FALSE),0)+
_xlfn.IFNA(VLOOKUP($C168,お客様データ添付!$AB:$AE,4,FALSE),0)+
_xlfn.IFNA(VLOOKUP($C168,お客様データ添付!$AI:$AL,4,FALSE),0)</f>
        <v>0</v>
      </c>
    </row>
    <row r="169" spans="1:6">
      <c r="A169" s="1">
        <f>_xlfn.IFNA(_xlfn.IFNA(_xlfn.IFNA(_xlfn.IFNA(_xlfn.XLOOKUP(C169,お客様データ添付!G:G,お客様データ添付!E:E),_xlfn.XLOOKUP(C169,お客様データ添付!N:N,お客様データ添付!L:L)),_xlfn.XLOOKUP(C169,お客様データ添付!U:U,お客様データ添付!S:S)),_xlfn.XLOOKUP(C169,お客様データ添付!AB:AB,お客様データ添付!Z:Z)),_xlfn.XLOOKUP(C169,お客様データ添付!AI:AI,お客様データ添付!AG:AG))</f>
        <v>530</v>
      </c>
      <c r="B169" t="s">
        <v>2817</v>
      </c>
      <c r="C169" t="s">
        <v>1451</v>
      </c>
      <c r="D169" s="1">
        <f>IF(C169&lt;&gt;"",MATCH(C169,お客様データリスト!$A$2:$MV$2,0),"")</f>
        <v>342</v>
      </c>
      <c r="E169" s="1">
        <f t="shared" ca="1" si="4"/>
        <v>1</v>
      </c>
      <c r="F169" s="1">
        <f>_xlfn.IFNA(VLOOKUP($C169,お客様データ添付!$G:$J,4,FALSE),0)+
_xlfn.IFNA(VLOOKUP($C169,お客様データ添付!$N:$Q,4,FALSE),0)+
_xlfn.IFNA(VLOOKUP($C169,お客様データ添付!$U:$X,4,FALSE),0)+
_xlfn.IFNA(VLOOKUP($C169,お客様データ添付!$AB:$AE,4,FALSE),0)+
_xlfn.IFNA(VLOOKUP($C169,お客様データ添付!$AI:$AL,4,FALSE),0)</f>
        <v>0</v>
      </c>
    </row>
    <row r="170" spans="1:6">
      <c r="A170" s="1">
        <f>_xlfn.IFNA(_xlfn.IFNA(_xlfn.IFNA(_xlfn.IFNA(_xlfn.XLOOKUP(C170,お客様データ添付!G:G,お客様データ添付!E:E),_xlfn.XLOOKUP(C170,お客様データ添付!N:N,お客様データ添付!L:L)),_xlfn.XLOOKUP(C170,お客様データ添付!U:U,お客様データ添付!S:S)),_xlfn.XLOOKUP(C170,お客様データ添付!AB:AB,お客様データ添付!Z:Z)),_xlfn.XLOOKUP(C170,お客様データ添付!AI:AI,お客様データ添付!AG:AG))</f>
        <v>531</v>
      </c>
      <c r="B170" t="s">
        <v>2818</v>
      </c>
      <c r="C170" t="s">
        <v>1452</v>
      </c>
      <c r="D170" s="1">
        <f>IF(C170&lt;&gt;"",MATCH(C170,お客様データリスト!$A$2:$MV$2,0),"")</f>
        <v>344</v>
      </c>
      <c r="E170" s="1">
        <f t="shared" ca="1" si="4"/>
        <v>1</v>
      </c>
      <c r="F170" s="1">
        <f>_xlfn.IFNA(VLOOKUP($C170,お客様データ添付!$G:$J,4,FALSE),0)+
_xlfn.IFNA(VLOOKUP($C170,お客様データ添付!$N:$Q,4,FALSE),0)+
_xlfn.IFNA(VLOOKUP($C170,お客様データ添付!$U:$X,4,FALSE),0)+
_xlfn.IFNA(VLOOKUP($C170,お客様データ添付!$AB:$AE,4,FALSE),0)+
_xlfn.IFNA(VLOOKUP($C170,お客様データ添付!$AI:$AL,4,FALSE),0)</f>
        <v>0</v>
      </c>
    </row>
    <row r="171" spans="1:6">
      <c r="A171" s="1">
        <f>_xlfn.IFNA(_xlfn.IFNA(_xlfn.IFNA(_xlfn.IFNA(_xlfn.XLOOKUP(C171,お客様データ添付!G:G,お客様データ添付!E:E),_xlfn.XLOOKUP(C171,お客様データ添付!N:N,お客様データ添付!L:L)),_xlfn.XLOOKUP(C171,お客様データ添付!U:U,お客様データ添付!S:S)),_xlfn.XLOOKUP(C171,お客様データ添付!AB:AB,お客様データ添付!Z:Z)),_xlfn.XLOOKUP(C171,お客様データ添付!AI:AI,お客様データ添付!AG:AG))</f>
        <v>532</v>
      </c>
      <c r="B171" t="s">
        <v>2819</v>
      </c>
      <c r="C171" t="s">
        <v>1453</v>
      </c>
      <c r="D171" s="1">
        <f>IF(C171&lt;&gt;"",MATCH(C171,お客様データリスト!$A$2:$MV$2,0),"")</f>
        <v>346</v>
      </c>
      <c r="E171" s="1">
        <f t="shared" ca="1" si="4"/>
        <v>1</v>
      </c>
      <c r="F171" s="1">
        <f>_xlfn.IFNA(VLOOKUP($C171,お客様データ添付!$G:$J,4,FALSE),0)+
_xlfn.IFNA(VLOOKUP($C171,お客様データ添付!$N:$Q,4,FALSE),0)+
_xlfn.IFNA(VLOOKUP($C171,お客様データ添付!$U:$X,4,FALSE),0)+
_xlfn.IFNA(VLOOKUP($C171,お客様データ添付!$AB:$AE,4,FALSE),0)+
_xlfn.IFNA(VLOOKUP($C171,お客様データ添付!$AI:$AL,4,FALSE),0)</f>
        <v>0</v>
      </c>
    </row>
    <row r="172" spans="1:6">
      <c r="A172" s="1">
        <f>_xlfn.IFNA(_xlfn.IFNA(_xlfn.IFNA(_xlfn.IFNA(_xlfn.XLOOKUP(C172,お客様データ添付!G:G,お客様データ添付!E:E),_xlfn.XLOOKUP(C172,お客様データ添付!N:N,お客様データ添付!L:L)),_xlfn.XLOOKUP(C172,お客様データ添付!U:U,お客様データ添付!S:S)),_xlfn.XLOOKUP(C172,お客様データ添付!AB:AB,お客様データ添付!Z:Z)),_xlfn.XLOOKUP(C172,お客様データ添付!AI:AI,お客様データ添付!AG:AG))</f>
        <v>534</v>
      </c>
      <c r="B172" t="s">
        <v>2639</v>
      </c>
      <c r="C172" t="s">
        <v>1454</v>
      </c>
      <c r="D172" s="1">
        <f>IF(C172&lt;&gt;"",MATCH(C172,お客様データリスト!$A$2:$MV$2,0),"")</f>
        <v>348</v>
      </c>
      <c r="E172" s="1">
        <f t="shared" ca="1" si="4"/>
        <v>0</v>
      </c>
      <c r="F172" s="1">
        <f>_xlfn.IFNA(VLOOKUP($C172,お客様データ添付!$G:$J,4,FALSE),0)+
_xlfn.IFNA(VLOOKUP($C172,お客様データ添付!$N:$Q,4,FALSE),0)+
_xlfn.IFNA(VLOOKUP($C172,お客様データ添付!$U:$X,4,FALSE),0)+
_xlfn.IFNA(VLOOKUP($C172,お客様データ添付!$AB:$AE,4,FALSE),0)+
_xlfn.IFNA(VLOOKUP($C172,お客様データ添付!$AI:$AL,4,FALSE),0)</f>
        <v>0</v>
      </c>
    </row>
    <row r="173" spans="1:6">
      <c r="A173" s="1">
        <f>_xlfn.IFNA(_xlfn.IFNA(_xlfn.IFNA(_xlfn.IFNA(_xlfn.XLOOKUP(C173,お客様データ添付!G:G,お客様データ添付!E:E),_xlfn.XLOOKUP(C173,お客様データ添付!N:N,お客様データ添付!L:L)),_xlfn.XLOOKUP(C173,お客様データ添付!U:U,お客様データ添付!S:S)),_xlfn.XLOOKUP(C173,お客様データ添付!AB:AB,お客様データ添付!Z:Z)),_xlfn.XLOOKUP(C173,お客様データ添付!AI:AI,お客様データ添付!AG:AG))</f>
        <v>535</v>
      </c>
      <c r="B173" t="s">
        <v>2823</v>
      </c>
      <c r="C173" t="s">
        <v>1456</v>
      </c>
      <c r="D173" s="1">
        <f>IF(C173&lt;&gt;"",MATCH(C173,お客様データリスト!$A$2:$MV$2,0),"")</f>
        <v>350</v>
      </c>
      <c r="E173" s="1">
        <f t="shared" ca="1" si="4"/>
        <v>0</v>
      </c>
      <c r="F173" s="1">
        <f>_xlfn.IFNA(VLOOKUP($C173,お客様データ添付!$G:$J,4,FALSE),0)+
_xlfn.IFNA(VLOOKUP($C173,お客様データ添付!$N:$Q,4,FALSE),0)+
_xlfn.IFNA(VLOOKUP($C173,お客様データ添付!$U:$X,4,FALSE),0)+
_xlfn.IFNA(VLOOKUP($C173,お客様データ添付!$AB:$AE,4,FALSE),0)+
_xlfn.IFNA(VLOOKUP($C173,お客様データ添付!$AI:$AL,4,FALSE),0)</f>
        <v>0</v>
      </c>
    </row>
    <row r="174" spans="1:6">
      <c r="A174" s="1">
        <f>_xlfn.IFNA(_xlfn.IFNA(_xlfn.IFNA(_xlfn.IFNA(_xlfn.XLOOKUP(C174,お客様データ添付!G:G,お客様データ添付!E:E),_xlfn.XLOOKUP(C174,お客様データ添付!N:N,お客様データ添付!L:L)),_xlfn.XLOOKUP(C174,お客様データ添付!U:U,お客様データ添付!S:S)),_xlfn.XLOOKUP(C174,お客様データ添付!AB:AB,お客様データ添付!Z:Z)),_xlfn.XLOOKUP(C174,お客様データ添付!AI:AI,お客様データ添付!AG:AG))</f>
        <v>536</v>
      </c>
      <c r="B174" t="s">
        <v>2824</v>
      </c>
      <c r="C174" t="s">
        <v>1457</v>
      </c>
      <c r="D174" s="1">
        <f>IF(C174&lt;&gt;"",MATCH(C174,お客様データリスト!$A$2:$MV$2,0),"")</f>
        <v>352</v>
      </c>
      <c r="E174" s="1">
        <f t="shared" ca="1" si="4"/>
        <v>1</v>
      </c>
      <c r="F174" s="1">
        <f>_xlfn.IFNA(VLOOKUP($C174,お客様データ添付!$G:$J,4,FALSE),0)+
_xlfn.IFNA(VLOOKUP($C174,お客様データ添付!$N:$Q,4,FALSE),0)+
_xlfn.IFNA(VLOOKUP($C174,お客様データ添付!$U:$X,4,FALSE),0)+
_xlfn.IFNA(VLOOKUP($C174,お客様データ添付!$AB:$AE,4,FALSE),0)+
_xlfn.IFNA(VLOOKUP($C174,お客様データ添付!$AI:$AL,4,FALSE),0)</f>
        <v>0</v>
      </c>
    </row>
    <row r="175" spans="1:6">
      <c r="A175" s="1">
        <f>_xlfn.IFNA(_xlfn.IFNA(_xlfn.IFNA(_xlfn.IFNA(_xlfn.XLOOKUP(C175,お客様データ添付!G:G,お客様データ添付!E:E),_xlfn.XLOOKUP(C175,お客様データ添付!N:N,お客様データ添付!L:L)),_xlfn.XLOOKUP(C175,お客様データ添付!U:U,お客様データ添付!S:S)),_xlfn.XLOOKUP(C175,お客様データ添付!AB:AB,お客様データ添付!Z:Z)),_xlfn.XLOOKUP(C175,お客様データ添付!AI:AI,お客様データ添付!AG:AG))</f>
        <v>537</v>
      </c>
      <c r="B175" t="s">
        <v>2639</v>
      </c>
      <c r="C175" t="s">
        <v>1458</v>
      </c>
      <c r="D175" s="1">
        <f>IF(C175&lt;&gt;"",MATCH(C175,お客様データリスト!$A$2:$MV$2,0),"")</f>
        <v>354</v>
      </c>
      <c r="E175" s="1">
        <f t="shared" ca="1" si="4"/>
        <v>0</v>
      </c>
      <c r="F175" s="1">
        <f>_xlfn.IFNA(VLOOKUP($C175,お客様データ添付!$G:$J,4,FALSE),0)+
_xlfn.IFNA(VLOOKUP($C175,お客様データ添付!$N:$Q,4,FALSE),0)+
_xlfn.IFNA(VLOOKUP($C175,お客様データ添付!$U:$X,4,FALSE),0)+
_xlfn.IFNA(VLOOKUP($C175,お客様データ添付!$AB:$AE,4,FALSE),0)+
_xlfn.IFNA(VLOOKUP($C175,お客様データ添付!$AI:$AL,4,FALSE),0)</f>
        <v>0</v>
      </c>
    </row>
    <row r="176" spans="1:6">
      <c r="A176" s="1">
        <f>_xlfn.IFNA(_xlfn.IFNA(_xlfn.IFNA(_xlfn.IFNA(_xlfn.XLOOKUP(C176,お客様データ添付!G:G,お客様データ添付!E:E),_xlfn.XLOOKUP(C176,お客様データ添付!N:N,お客様データ添付!L:L)),_xlfn.XLOOKUP(C176,お客様データ添付!U:U,お客様データ添付!S:S)),_xlfn.XLOOKUP(C176,お客様データ添付!AB:AB,お客様データ添付!Z:Z)),_xlfn.XLOOKUP(C176,お客様データ添付!AI:AI,お客様データ添付!AG:AG))</f>
        <v>538</v>
      </c>
      <c r="B176" t="s">
        <v>2827</v>
      </c>
      <c r="C176" t="s">
        <v>1459</v>
      </c>
      <c r="D176" s="1">
        <f>IF(C176&lt;&gt;"",MATCH(C176,お客様データリスト!$A$2:$MV$2,0),"")</f>
        <v>356</v>
      </c>
      <c r="E176" s="1">
        <f t="shared" ca="1" si="4"/>
        <v>0</v>
      </c>
      <c r="F176" s="1">
        <f>_xlfn.IFNA(VLOOKUP($C176,お客様データ添付!$G:$J,4,FALSE),0)+
_xlfn.IFNA(VLOOKUP($C176,お客様データ添付!$N:$Q,4,FALSE),0)+
_xlfn.IFNA(VLOOKUP($C176,お客様データ添付!$U:$X,4,FALSE),0)+
_xlfn.IFNA(VLOOKUP($C176,お客様データ添付!$AB:$AE,4,FALSE),0)+
_xlfn.IFNA(VLOOKUP($C176,お客様データ添付!$AI:$AL,4,FALSE),0)</f>
        <v>0</v>
      </c>
    </row>
    <row r="177" spans="1:6">
      <c r="A177" s="1">
        <f>_xlfn.IFNA(_xlfn.IFNA(_xlfn.IFNA(_xlfn.IFNA(_xlfn.XLOOKUP(C177,お客様データ添付!G:G,お客様データ添付!E:E),_xlfn.XLOOKUP(C177,お客様データ添付!N:N,お客様データ添付!L:L)),_xlfn.XLOOKUP(C177,お客様データ添付!U:U,お客様データ添付!S:S)),_xlfn.XLOOKUP(C177,お客様データ添付!AB:AB,お客様データ添付!Z:Z)),_xlfn.XLOOKUP(C177,お客様データ添付!AI:AI,お客様データ添付!AG:AG))</f>
        <v>539</v>
      </c>
      <c r="B177" t="s">
        <v>2828</v>
      </c>
      <c r="C177" t="s">
        <v>1460</v>
      </c>
      <c r="D177" s="1">
        <f>IF(C177&lt;&gt;"",MATCH(C177,お客様データリスト!$A$2:$MV$2,0),"")</f>
        <v>358</v>
      </c>
      <c r="E177" s="1">
        <f t="shared" ca="1" si="4"/>
        <v>0</v>
      </c>
      <c r="F177" s="1">
        <f>_xlfn.IFNA(VLOOKUP($C177,お客様データ添付!$G:$J,4,FALSE),0)+
_xlfn.IFNA(VLOOKUP($C177,お客様データ添付!$N:$Q,4,FALSE),0)+
_xlfn.IFNA(VLOOKUP($C177,お客様データ添付!$U:$X,4,FALSE),0)+
_xlfn.IFNA(VLOOKUP($C177,お客様データ添付!$AB:$AE,4,FALSE),0)+
_xlfn.IFNA(VLOOKUP($C177,お客様データ添付!$AI:$AL,4,FALSE),0)</f>
        <v>0</v>
      </c>
    </row>
    <row r="178" spans="1:6">
      <c r="A178" s="1">
        <f>_xlfn.IFNA(_xlfn.IFNA(_xlfn.IFNA(_xlfn.IFNA(_xlfn.XLOOKUP(C178,お客様データ添付!G:G,お客様データ添付!E:E),_xlfn.XLOOKUP(C178,お客様データ添付!N:N,お客様データ添付!L:L)),_xlfn.XLOOKUP(C178,お客様データ添付!U:U,お客様データ添付!S:S)),_xlfn.XLOOKUP(C178,お客様データ添付!AB:AB,お客様データ添付!Z:Z)),_xlfn.XLOOKUP(C178,お客様データ添付!AI:AI,お客様データ添付!AG:AG))</f>
        <v>540</v>
      </c>
      <c r="B178" t="s">
        <v>2831</v>
      </c>
      <c r="C178" t="s">
        <v>1461</v>
      </c>
      <c r="D178" s="1">
        <f>IF(C178&lt;&gt;"",MATCH(C178,お客様データリスト!$A$2:$MV$2,0),"")</f>
        <v>360</v>
      </c>
      <c r="E178" s="1">
        <f t="shared" ca="1" si="4"/>
        <v>0</v>
      </c>
      <c r="F178" s="1">
        <f>_xlfn.IFNA(VLOOKUP($C178,お客様データ添付!$G:$J,4,FALSE),0)+
_xlfn.IFNA(VLOOKUP($C178,お客様データ添付!$N:$Q,4,FALSE),0)+
_xlfn.IFNA(VLOOKUP($C178,お客様データ添付!$U:$X,4,FALSE),0)+
_xlfn.IFNA(VLOOKUP($C178,お客様データ添付!$AB:$AE,4,FALSE),0)+
_xlfn.IFNA(VLOOKUP($C178,お客様データ添付!$AI:$AL,4,FALSE),0)</f>
        <v>0</v>
      </c>
    </row>
  </sheetData>
  <sortState xmlns:xlrd2="http://schemas.microsoft.com/office/spreadsheetml/2017/richdata2" ref="E2:F176">
    <sortCondition ref="E2:E176"/>
  </sortState>
  <phoneticPr fontId="1"/>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10241" r:id="rId3" name="Button 1">
              <controlPr defaultSize="0" print="0" autoFill="0" autoPict="0" macro="[0]!getMSSfilesList">
                <anchor moveWithCells="1" sizeWithCells="1">
                  <from>
                    <xdr:col>0</xdr:col>
                    <xdr:colOff>323850</xdr:colOff>
                    <xdr:row>0</xdr:row>
                    <xdr:rowOff>76200</xdr:rowOff>
                  </from>
                  <to>
                    <xdr:col>1</xdr:col>
                    <xdr:colOff>381000</xdr:colOff>
                    <xdr:row>1</xdr:row>
                    <xdr:rowOff>142875</xdr:rowOff>
                  </to>
                </anchor>
              </controlPr>
            </control>
          </mc:Choice>
        </mc:AlternateContent>
      </controls>
    </mc:Choice>
  </mc:AlternateContent>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556E951-E728-403F-88A1-F5CD042014A9}">
  <sheetPr codeName="Sheet19">
    <tabColor theme="8" tint="-0.249977111117893"/>
  </sheetPr>
  <dimension ref="A1:AL113"/>
  <sheetViews>
    <sheetView zoomScaleNormal="100" workbookViewId="0">
      <selection activeCell="F102" sqref="F102"/>
    </sheetView>
  </sheetViews>
  <sheetFormatPr defaultRowHeight="21"/>
  <cols>
    <col min="1" max="1" width="5.5" customWidth="1"/>
    <col min="2" max="2" width="46" customWidth="1"/>
    <col min="3" max="3" width="2.875" customWidth="1"/>
    <col min="5" max="5" width="0" hidden="1" customWidth="1"/>
    <col min="6" max="6" width="10" style="1" customWidth="1"/>
    <col min="7" max="7" width="17.25" style="1" customWidth="1"/>
    <col min="8" max="8" width="53.75" customWidth="1"/>
    <col min="9" max="9" width="11.375" style="1" customWidth="1"/>
    <col min="10" max="10" width="14.875" style="1" customWidth="1"/>
    <col min="11" max="11" width="22.875" style="1" customWidth="1"/>
    <col min="12" max="13" width="14.875" style="71" customWidth="1"/>
    <col min="38" max="38" width="9" style="535"/>
  </cols>
  <sheetData>
    <row r="1" spans="1:38" ht="32.25" customHeight="1">
      <c r="B1" s="546" t="s">
        <v>3661</v>
      </c>
    </row>
    <row r="2" spans="1:38" s="1" customFormat="1" ht="36.75" customHeight="1">
      <c r="B2" s="542"/>
      <c r="D2" s="1" t="s">
        <v>3660</v>
      </c>
      <c r="E2" s="1" t="s">
        <v>1843</v>
      </c>
      <c r="F2" s="1" t="s">
        <v>3642</v>
      </c>
      <c r="G2" s="1" t="s">
        <v>1844</v>
      </c>
      <c r="H2" s="1" t="s">
        <v>3643</v>
      </c>
      <c r="I2" s="1" t="s">
        <v>3644</v>
      </c>
      <c r="J2" s="1" t="s">
        <v>1</v>
      </c>
      <c r="K2" s="1" t="s">
        <v>3645</v>
      </c>
      <c r="L2" s="71" t="s">
        <v>3646</v>
      </c>
      <c r="M2" s="71" t="s">
        <v>3647</v>
      </c>
      <c r="AL2" s="536"/>
    </row>
    <row r="3" spans="1:38">
      <c r="D3" s="541" t="str">
        <f>IF(T!A2&lt;&gt;"",HYPERLINK("https://nextoffice.next-hd.co.jp/pleasanter/items/"&amp;T!A2&amp;"/edit","開く"),"")</f>
        <v>開く</v>
      </c>
      <c r="E3" s="76">
        <f>T!A2</f>
        <v>370172</v>
      </c>
      <c r="F3" s="1" t="str">
        <f>_xlfn.XLOOKUP(_xlfn.XLOOKUP(テーブル20[[#This Row],[ID]],T!$A:$A,T!$AK:$AK,"",0),エリア一覧[ID],エリア一覧[エリア],"",0)</f>
        <v/>
      </c>
      <c r="G3" s="1" t="str">
        <f>_xlfn.XLOOKUP(_xlfn.XLOOKUP(テーブル20[[#This Row],[ID]],T!$A:$A,T!$B:$B,"",0),追変ステータス[ステータスID],追変ステータス[ステータス],"",0)</f>
        <v>[追変]承認済</v>
      </c>
      <c r="H3" t="str">
        <f>_xlfn.XLOOKUP(テーブル20[[#This Row],[ID]],T!$A:$A,T!$N:$N,"",0)</f>
        <v>05A3BRONT■田中 勝也■追加変更申請■0001</v>
      </c>
      <c r="I3" s="1" t="str">
        <f>_xlfn.XLOOKUP(_xlfn.XLOOKUP(テーブル20[[#This Row],[ID]],T!$A:$A,T!$AT:$AT,"",0),社員リスト[ユーザID],社員リスト[名前],"",0)</f>
        <v/>
      </c>
      <c r="J3" s="538">
        <f>_xlfn.XLOOKUP(テーブル20[[#This Row],[ID]],T!$A:$A,T!$I:$I,"",0)</f>
        <v>0</v>
      </c>
      <c r="K3" s="540" t="str">
        <f>_xlfn.XLOOKUP(テーブル20[[#This Row],[ID]],T!$A:$A,T!$AI:$AI,"",0)</f>
        <v>ネクストイノベーション</v>
      </c>
      <c r="L3" s="71">
        <f>_xlfn.XLOOKUP(テーブル20[[#This Row],[ID]],T!$A:$A,T!$AN:$AN,"",0)</f>
        <v>2</v>
      </c>
      <c r="M3" s="71">
        <f>_xlfn.XLOOKUP(テーブル20[[#This Row],[ID]],T!$A:$A,T!$AO:$AO,"",0)</f>
        <v>3</v>
      </c>
    </row>
    <row r="4" spans="1:38">
      <c r="B4" s="537" t="s">
        <v>3659</v>
      </c>
      <c r="D4" s="541" t="str">
        <f>IF(T!A3&lt;&gt;"",HYPERLINK("https://nextoffice.next-hd.co.jp/pleasanter/items/"&amp;T!A3&amp;"/edit","開く"),"")</f>
        <v/>
      </c>
      <c r="E4" s="76">
        <f>T!A3</f>
        <v>0</v>
      </c>
      <c r="F4" s="1" t="str">
        <f>_xlfn.XLOOKUP(_xlfn.XLOOKUP(テーブル20[[#This Row],[ID]],T!$A:$A,T!$AK:$AK,"",0),エリア一覧[ID],エリア一覧[エリア],"",0)</f>
        <v/>
      </c>
      <c r="G4" s="1" t="str">
        <f>_xlfn.XLOOKUP(_xlfn.XLOOKUP(テーブル20[[#This Row],[ID]],T!$A:$A,T!$B:$B,"",0),追変ステータス[ステータスID],追変ステータス[ステータス],"",0)</f>
        <v/>
      </c>
      <c r="H4" t="str">
        <f>_xlfn.XLOOKUP(テーブル20[[#This Row],[ID]],T!$A:$A,T!$N:$N,"",0)</f>
        <v/>
      </c>
      <c r="I4" s="1" t="str">
        <f>_xlfn.XLOOKUP(_xlfn.XLOOKUP(テーブル20[[#This Row],[ID]],T!$A:$A,T!$AT:$AT,"",0),社員リスト[ユーザID],社員リスト[名前],"",0)</f>
        <v/>
      </c>
      <c r="J4" s="538" t="str">
        <f>_xlfn.XLOOKUP(テーブル20[[#This Row],[ID]],T!$A:$A,T!$I:$I,"",0)</f>
        <v/>
      </c>
      <c r="K4" s="540" t="str">
        <f>_xlfn.XLOOKUP(テーブル20[[#This Row],[ID]],T!$A:$A,T!$AI:$AI,"",0)</f>
        <v/>
      </c>
      <c r="L4" s="71" t="str">
        <f>_xlfn.XLOOKUP(テーブル20[[#This Row],[ID]],T!$A:$A,T!$AN:$AN,"",0)</f>
        <v/>
      </c>
      <c r="M4" s="71" t="str">
        <f>_xlfn.XLOOKUP(テーブル20[[#This Row],[ID]],T!$A:$A,T!$AO:$AO,"",0)</f>
        <v/>
      </c>
    </row>
    <row r="5" spans="1:38">
      <c r="B5" s="538"/>
      <c r="D5" s="541" t="str">
        <f>IF(T!A4&lt;&gt;"",HYPERLINK("https://nextoffice.next-hd.co.jp/pleasanter/items/"&amp;T!A4&amp;"/edit","開く"),"")</f>
        <v/>
      </c>
      <c r="E5" s="76">
        <f>T!A4</f>
        <v>0</v>
      </c>
      <c r="F5" s="1" t="str">
        <f>_xlfn.XLOOKUP(_xlfn.XLOOKUP(テーブル20[[#This Row],[ID]],T!$A:$A,T!$AK:$AK,"",0),エリア一覧[ID],エリア一覧[エリア],"",0)</f>
        <v/>
      </c>
      <c r="G5" s="1" t="str">
        <f>_xlfn.XLOOKUP(_xlfn.XLOOKUP(テーブル20[[#This Row],[ID]],T!$A:$A,T!$B:$B,"",0),追変ステータス[ステータスID],追変ステータス[ステータス],"",0)</f>
        <v/>
      </c>
      <c r="H5" t="str">
        <f>_xlfn.XLOOKUP(テーブル20[[#This Row],[ID]],T!$A:$A,T!$N:$N,"",0)</f>
        <v/>
      </c>
      <c r="I5" s="1" t="str">
        <f>_xlfn.XLOOKUP(_xlfn.XLOOKUP(テーブル20[[#This Row],[ID]],T!$A:$A,T!$AT:$AT,"",0),社員リスト[ユーザID],社員リスト[名前],"",0)</f>
        <v/>
      </c>
      <c r="J5" s="538" t="str">
        <f>_xlfn.XLOOKUP(テーブル20[[#This Row],[ID]],T!$A:$A,T!$I:$I,"",0)</f>
        <v/>
      </c>
      <c r="K5" s="540" t="str">
        <f>_xlfn.XLOOKUP(テーブル20[[#This Row],[ID]],T!$A:$A,T!$AI:$AI,"",0)</f>
        <v/>
      </c>
      <c r="L5" s="71" t="str">
        <f>_xlfn.XLOOKUP(テーブル20[[#This Row],[ID]],T!$A:$A,T!$AN:$AN,"",0)</f>
        <v/>
      </c>
      <c r="M5" s="71" t="str">
        <f>_xlfn.XLOOKUP(テーブル20[[#This Row],[ID]],T!$A:$A,T!$AO:$AO,"",0)</f>
        <v/>
      </c>
    </row>
    <row r="6" spans="1:38">
      <c r="D6" s="541" t="str">
        <f>IF(T!A5&lt;&gt;"",HYPERLINK("https://nextoffice.next-hd.co.jp/pleasanter/items/"&amp;T!A5&amp;"/edit","開く"),"")</f>
        <v/>
      </c>
      <c r="E6" s="76">
        <f>T!A5</f>
        <v>0</v>
      </c>
      <c r="F6" s="1" t="str">
        <f>_xlfn.XLOOKUP(_xlfn.XLOOKUP(テーブル20[[#This Row],[ID]],T!$A:$A,T!$AK:$AK,"",0),エリア一覧[ID],エリア一覧[エリア],"",0)</f>
        <v/>
      </c>
      <c r="G6" s="1" t="str">
        <f>_xlfn.XLOOKUP(_xlfn.XLOOKUP(テーブル20[[#This Row],[ID]],T!$A:$A,T!$B:$B,"",0),追変ステータス[ステータスID],追変ステータス[ステータス],"",0)</f>
        <v/>
      </c>
      <c r="H6" t="str">
        <f>_xlfn.XLOOKUP(テーブル20[[#This Row],[ID]],T!$A:$A,T!$N:$N,"",0)</f>
        <v/>
      </c>
      <c r="I6" s="1" t="str">
        <f>_xlfn.XLOOKUP(_xlfn.XLOOKUP(テーブル20[[#This Row],[ID]],T!$A:$A,T!$AT:$AT,"",0),社員リスト[ユーザID],社員リスト[名前],"",0)</f>
        <v/>
      </c>
      <c r="J6" s="538" t="str">
        <f>_xlfn.XLOOKUP(テーブル20[[#This Row],[ID]],T!$A:$A,T!$I:$I,"",0)</f>
        <v/>
      </c>
      <c r="K6" s="540" t="str">
        <f>_xlfn.XLOOKUP(テーブル20[[#This Row],[ID]],T!$A:$A,T!$AI:$AI,"",0)</f>
        <v/>
      </c>
      <c r="L6" s="71" t="str">
        <f>_xlfn.XLOOKUP(テーブル20[[#This Row],[ID]],T!$A:$A,T!$AN:$AN,"",0)</f>
        <v/>
      </c>
      <c r="M6" s="71" t="str">
        <f>_xlfn.XLOOKUP(テーブル20[[#This Row],[ID]],T!$A:$A,T!$AO:$AO,"",0)</f>
        <v/>
      </c>
    </row>
    <row r="7" spans="1:38">
      <c r="D7" s="541" t="str">
        <f>IF(T!A6&lt;&gt;"",HYPERLINK("https://nextoffice.next-hd.co.jp/pleasanter/items/"&amp;T!A6&amp;"/edit","開く"),"")</f>
        <v/>
      </c>
      <c r="E7" s="76">
        <f>T!A6</f>
        <v>0</v>
      </c>
      <c r="F7" s="1" t="str">
        <f>_xlfn.XLOOKUP(_xlfn.XLOOKUP(テーブル20[[#This Row],[ID]],T!$A:$A,T!$AK:$AK,"",0),エリア一覧[ID],エリア一覧[エリア],"",0)</f>
        <v/>
      </c>
      <c r="G7" s="1" t="str">
        <f>_xlfn.XLOOKUP(_xlfn.XLOOKUP(テーブル20[[#This Row],[ID]],T!$A:$A,T!$B:$B,"",0),追変ステータス[ステータスID],追変ステータス[ステータス],"",0)</f>
        <v/>
      </c>
      <c r="H7" t="str">
        <f>_xlfn.XLOOKUP(テーブル20[[#This Row],[ID]],T!$A:$A,T!$N:$N,"",0)</f>
        <v/>
      </c>
      <c r="I7" s="1" t="str">
        <f>_xlfn.XLOOKUP(_xlfn.XLOOKUP(テーブル20[[#This Row],[ID]],T!$A:$A,T!$AT:$AT,"",0),社員リスト[ユーザID],社員リスト[名前],"",0)</f>
        <v/>
      </c>
      <c r="J7" s="538" t="str">
        <f>_xlfn.XLOOKUP(テーブル20[[#This Row],[ID]],T!$A:$A,T!$I:$I,"",0)</f>
        <v/>
      </c>
      <c r="K7" s="540" t="str">
        <f>_xlfn.XLOOKUP(テーブル20[[#This Row],[ID]],T!$A:$A,T!$AI:$AI,"",0)</f>
        <v/>
      </c>
      <c r="L7" s="71" t="str">
        <f>_xlfn.XLOOKUP(テーブル20[[#This Row],[ID]],T!$A:$A,T!$AN:$AN,"",0)</f>
        <v/>
      </c>
      <c r="M7" s="71" t="str">
        <f>_xlfn.XLOOKUP(テーブル20[[#This Row],[ID]],T!$A:$A,T!$AO:$AO,"",0)</f>
        <v/>
      </c>
    </row>
    <row r="8" spans="1:38">
      <c r="D8" s="541" t="str">
        <f>IF(T!A7&lt;&gt;"",HYPERLINK("https://nextoffice.next-hd.co.jp/pleasanter/items/"&amp;T!A7&amp;"/edit","開く"),"")</f>
        <v/>
      </c>
      <c r="E8" s="76">
        <f>T!A7</f>
        <v>0</v>
      </c>
      <c r="F8" s="1" t="str">
        <f>_xlfn.XLOOKUP(_xlfn.XLOOKUP(テーブル20[[#This Row],[ID]],T!$A:$A,T!$AK:$AK,"",0),エリア一覧[ID],エリア一覧[エリア],"",0)</f>
        <v/>
      </c>
      <c r="G8" s="1" t="str">
        <f>_xlfn.XLOOKUP(_xlfn.XLOOKUP(テーブル20[[#This Row],[ID]],T!$A:$A,T!$B:$B,"",0),追変ステータス[ステータスID],追変ステータス[ステータス],"",0)</f>
        <v/>
      </c>
      <c r="H8" t="str">
        <f>_xlfn.XLOOKUP(テーブル20[[#This Row],[ID]],T!$A:$A,T!$N:$N,"",0)</f>
        <v/>
      </c>
      <c r="I8" s="1" t="str">
        <f>_xlfn.XLOOKUP(_xlfn.XLOOKUP(テーブル20[[#This Row],[ID]],T!$A:$A,T!$AT:$AT,"",0),社員リスト[ユーザID],社員リスト[名前],"",0)</f>
        <v/>
      </c>
      <c r="J8" s="538" t="str">
        <f>_xlfn.XLOOKUP(テーブル20[[#This Row],[ID]],T!$A:$A,T!$I:$I,"",0)</f>
        <v/>
      </c>
      <c r="K8" s="540" t="str">
        <f>_xlfn.XLOOKUP(テーブル20[[#This Row],[ID]],T!$A:$A,T!$AI:$AI,"",0)</f>
        <v/>
      </c>
      <c r="L8" s="71" t="str">
        <f>_xlfn.XLOOKUP(テーブル20[[#This Row],[ID]],T!$A:$A,T!$AN:$AN,"",0)</f>
        <v/>
      </c>
      <c r="M8" s="71" t="str">
        <f>_xlfn.XLOOKUP(テーブル20[[#This Row],[ID]],T!$A:$A,T!$AO:$AO,"",0)</f>
        <v/>
      </c>
    </row>
    <row r="9" spans="1:38">
      <c r="D9" s="541" t="str">
        <f>IF(T!A8&lt;&gt;"",HYPERLINK("https://nextoffice.next-hd.co.jp/pleasanter/items/"&amp;T!A8&amp;"/edit","開く"),"")</f>
        <v/>
      </c>
      <c r="E9" s="76">
        <f>T!A8</f>
        <v>0</v>
      </c>
      <c r="F9" s="1" t="str">
        <f>_xlfn.XLOOKUP(_xlfn.XLOOKUP(テーブル20[[#This Row],[ID]],T!$A:$A,T!$AK:$AK,"",0),エリア一覧[ID],エリア一覧[エリア],"",0)</f>
        <v/>
      </c>
      <c r="G9" s="1" t="str">
        <f>_xlfn.XLOOKUP(_xlfn.XLOOKUP(テーブル20[[#This Row],[ID]],T!$A:$A,T!$B:$B,"",0),追変ステータス[ステータスID],追変ステータス[ステータス],"",0)</f>
        <v/>
      </c>
      <c r="H9" t="str">
        <f>_xlfn.XLOOKUP(テーブル20[[#This Row],[ID]],T!$A:$A,T!$N:$N,"",0)</f>
        <v/>
      </c>
      <c r="I9" s="1" t="str">
        <f>_xlfn.XLOOKUP(_xlfn.XLOOKUP(テーブル20[[#This Row],[ID]],T!$A:$A,T!$AT:$AT,"",0),社員リスト[ユーザID],社員リスト[名前],"",0)</f>
        <v/>
      </c>
      <c r="J9" s="538" t="str">
        <f>_xlfn.XLOOKUP(テーブル20[[#This Row],[ID]],T!$A:$A,T!$I:$I,"",0)</f>
        <v/>
      </c>
      <c r="K9" s="540" t="str">
        <f>_xlfn.XLOOKUP(テーブル20[[#This Row],[ID]],T!$A:$A,T!$AI:$AI,"",0)</f>
        <v/>
      </c>
      <c r="L9" s="71" t="str">
        <f>_xlfn.XLOOKUP(テーブル20[[#This Row],[ID]],T!$A:$A,T!$AN:$AN,"",0)</f>
        <v/>
      </c>
      <c r="M9" s="71" t="str">
        <f>_xlfn.XLOOKUP(テーブル20[[#This Row],[ID]],T!$A:$A,T!$AO:$AO,"",0)</f>
        <v/>
      </c>
    </row>
    <row r="10" spans="1:38">
      <c r="B10" s="30" t="s">
        <v>2638</v>
      </c>
      <c r="D10" s="541" t="str">
        <f>IF(T!A9&lt;&gt;"",HYPERLINK("https://nextoffice.next-hd.co.jp/pleasanter/items/"&amp;T!A9&amp;"/edit","開く"),"")</f>
        <v/>
      </c>
      <c r="E10" s="76">
        <f>T!A9</f>
        <v>0</v>
      </c>
      <c r="F10" s="1" t="str">
        <f>_xlfn.XLOOKUP(_xlfn.XLOOKUP(テーブル20[[#This Row],[ID]],T!$A:$A,T!$AK:$AK,"",0),エリア一覧[ID],エリア一覧[エリア],"",0)</f>
        <v/>
      </c>
      <c r="G10" s="1" t="str">
        <f>_xlfn.XLOOKUP(_xlfn.XLOOKUP(テーブル20[[#This Row],[ID]],T!$A:$A,T!$B:$B,"",0),追変ステータス[ステータスID],追変ステータス[ステータス],"",0)</f>
        <v/>
      </c>
      <c r="H10" t="str">
        <f>_xlfn.XLOOKUP(テーブル20[[#This Row],[ID]],T!$A:$A,T!$N:$N,"",0)</f>
        <v/>
      </c>
      <c r="I10" s="1" t="str">
        <f>_xlfn.XLOOKUP(_xlfn.XLOOKUP(テーブル20[[#This Row],[ID]],T!$A:$A,T!$AT:$AT,"",0),社員リスト[ユーザID],社員リスト[名前],"",0)</f>
        <v/>
      </c>
      <c r="J10" s="538" t="str">
        <f>_xlfn.XLOOKUP(テーブル20[[#This Row],[ID]],T!$A:$A,T!$I:$I,"",0)</f>
        <v/>
      </c>
      <c r="K10" s="540" t="str">
        <f>_xlfn.XLOOKUP(テーブル20[[#This Row],[ID]],T!$A:$A,T!$AI:$AI,"",0)</f>
        <v/>
      </c>
      <c r="L10" s="71" t="str">
        <f>_xlfn.XLOOKUP(テーブル20[[#This Row],[ID]],T!$A:$A,T!$AN:$AN,"",0)</f>
        <v/>
      </c>
      <c r="M10" s="71" t="str">
        <f>_xlfn.XLOOKUP(テーブル20[[#This Row],[ID]],T!$A:$A,T!$AO:$AO,"",0)</f>
        <v/>
      </c>
    </row>
    <row r="11" spans="1:38">
      <c r="B11" s="37"/>
      <c r="D11" s="541" t="str">
        <f>IF(T!A10&lt;&gt;"",HYPERLINK("https://nextoffice.next-hd.co.jp/pleasanter/items/"&amp;T!A10&amp;"/edit","開く"),"")</f>
        <v/>
      </c>
      <c r="E11" s="76">
        <f>T!A10</f>
        <v>0</v>
      </c>
      <c r="F11" s="1" t="str">
        <f>_xlfn.XLOOKUP(_xlfn.XLOOKUP(テーブル20[[#This Row],[ID]],T!$A:$A,T!$AK:$AK,"",0),エリア一覧[ID],エリア一覧[エリア],"",0)</f>
        <v/>
      </c>
      <c r="G11" s="1" t="str">
        <f>_xlfn.XLOOKUP(_xlfn.XLOOKUP(テーブル20[[#This Row],[ID]],T!$A:$A,T!$B:$B,"",0),追変ステータス[ステータスID],追変ステータス[ステータス],"",0)</f>
        <v/>
      </c>
      <c r="H11" t="str">
        <f>_xlfn.XLOOKUP(テーブル20[[#This Row],[ID]],T!$A:$A,T!$N:$N,"",0)</f>
        <v/>
      </c>
      <c r="I11" s="1" t="str">
        <f>_xlfn.XLOOKUP(_xlfn.XLOOKUP(テーブル20[[#This Row],[ID]],T!$A:$A,T!$AT:$AT,"",0),社員リスト[ユーザID],社員リスト[名前],"",0)</f>
        <v/>
      </c>
      <c r="J11" s="538" t="str">
        <f>_xlfn.XLOOKUP(テーブル20[[#This Row],[ID]],T!$A:$A,T!$I:$I,"",0)</f>
        <v/>
      </c>
      <c r="K11" s="540" t="str">
        <f>_xlfn.XLOOKUP(テーブル20[[#This Row],[ID]],T!$A:$A,T!$AI:$AI,"",0)</f>
        <v/>
      </c>
      <c r="L11" s="71" t="str">
        <f>_xlfn.XLOOKUP(テーブル20[[#This Row],[ID]],T!$A:$A,T!$AN:$AN,"",0)</f>
        <v/>
      </c>
      <c r="M11" s="71" t="str">
        <f>_xlfn.XLOOKUP(テーブル20[[#This Row],[ID]],T!$A:$A,T!$AO:$AO,"",0)</f>
        <v/>
      </c>
    </row>
    <row r="12" spans="1:38">
      <c r="B12" s="39" t="s">
        <v>2636</v>
      </c>
      <c r="D12" s="541" t="str">
        <f>IF(T!A11&lt;&gt;"",HYPERLINK("https://nextoffice.next-hd.co.jp/pleasanter/items/"&amp;T!A11&amp;"/edit","開く"),"")</f>
        <v/>
      </c>
      <c r="E12" s="76">
        <f>T!A11</f>
        <v>0</v>
      </c>
      <c r="F12" s="1" t="str">
        <f>_xlfn.XLOOKUP(_xlfn.XLOOKUP(テーブル20[[#This Row],[ID]],T!$A:$A,T!$AK:$AK,"",0),エリア一覧[ID],エリア一覧[エリア],"",0)</f>
        <v/>
      </c>
      <c r="G12" s="1" t="str">
        <f>_xlfn.XLOOKUP(_xlfn.XLOOKUP(テーブル20[[#This Row],[ID]],T!$A:$A,T!$B:$B,"",0),追変ステータス[ステータスID],追変ステータス[ステータス],"",0)</f>
        <v/>
      </c>
      <c r="H12" t="str">
        <f>_xlfn.XLOOKUP(テーブル20[[#This Row],[ID]],T!$A:$A,T!$N:$N,"",0)</f>
        <v/>
      </c>
      <c r="I12" s="1" t="str">
        <f>_xlfn.XLOOKUP(_xlfn.XLOOKUP(テーブル20[[#This Row],[ID]],T!$A:$A,T!$AT:$AT,"",0),社員リスト[ユーザID],社員リスト[名前],"",0)</f>
        <v/>
      </c>
      <c r="J12" s="538" t="str">
        <f>_xlfn.XLOOKUP(テーブル20[[#This Row],[ID]],T!$A:$A,T!$I:$I,"",0)</f>
        <v/>
      </c>
      <c r="K12" s="540" t="str">
        <f>_xlfn.XLOOKUP(テーブル20[[#This Row],[ID]],T!$A:$A,T!$AI:$AI,"",0)</f>
        <v/>
      </c>
      <c r="L12" s="71" t="str">
        <f>_xlfn.XLOOKUP(テーブル20[[#This Row],[ID]],T!$A:$A,T!$AN:$AN,"",0)</f>
        <v/>
      </c>
      <c r="M12" s="71" t="str">
        <f>_xlfn.XLOOKUP(テーブル20[[#This Row],[ID]],T!$A:$A,T!$AO:$AO,"",0)</f>
        <v/>
      </c>
    </row>
    <row r="13" spans="1:38">
      <c r="B13" s="30" t="s">
        <v>2637</v>
      </c>
      <c r="D13" s="541" t="str">
        <f>IF(T!A12&lt;&gt;"",HYPERLINK("https://nextoffice.next-hd.co.jp/pleasanter/items/"&amp;T!A12&amp;"/edit","開く"),"")</f>
        <v/>
      </c>
      <c r="E13" s="76">
        <f>T!A12</f>
        <v>0</v>
      </c>
      <c r="F13" s="1" t="str">
        <f>_xlfn.XLOOKUP(_xlfn.XLOOKUP(テーブル20[[#This Row],[ID]],T!$A:$A,T!$AK:$AK,"",0),エリア一覧[ID],エリア一覧[エリア],"",0)</f>
        <v/>
      </c>
      <c r="G13" s="1" t="str">
        <f>_xlfn.XLOOKUP(_xlfn.XLOOKUP(テーブル20[[#This Row],[ID]],T!$A:$A,T!$B:$B,"",0),追変ステータス[ステータスID],追変ステータス[ステータス],"",0)</f>
        <v/>
      </c>
      <c r="H13" t="str">
        <f>_xlfn.XLOOKUP(テーブル20[[#This Row],[ID]],T!$A:$A,T!$N:$N,"",0)</f>
        <v/>
      </c>
      <c r="I13" s="1" t="str">
        <f>_xlfn.XLOOKUP(_xlfn.XLOOKUP(テーブル20[[#This Row],[ID]],T!$A:$A,T!$AT:$AT,"",0),社員リスト[ユーザID],社員リスト[名前],"",0)</f>
        <v/>
      </c>
      <c r="J13" s="538" t="str">
        <f>_xlfn.XLOOKUP(テーブル20[[#This Row],[ID]],T!$A:$A,T!$I:$I,"",0)</f>
        <v/>
      </c>
      <c r="K13" s="540" t="str">
        <f>_xlfn.XLOOKUP(テーブル20[[#This Row],[ID]],T!$A:$A,T!$AI:$AI,"",0)</f>
        <v/>
      </c>
      <c r="L13" s="71" t="str">
        <f>_xlfn.XLOOKUP(テーブル20[[#This Row],[ID]],T!$A:$A,T!$AN:$AN,"",0)</f>
        <v/>
      </c>
      <c r="M13" s="71" t="str">
        <f>_xlfn.XLOOKUP(テーブル20[[#This Row],[ID]],T!$A:$A,T!$AO:$AO,"",0)</f>
        <v/>
      </c>
    </row>
    <row r="14" spans="1:38">
      <c r="A14">
        <v>1</v>
      </c>
      <c r="B14" s="37"/>
      <c r="D14" s="541" t="str">
        <f>IF(T!A13&lt;&gt;"",HYPERLINK("https://nextoffice.next-hd.co.jp/pleasanter/items/"&amp;T!A13&amp;"/edit","開く"),"")</f>
        <v/>
      </c>
      <c r="E14" s="76">
        <f>T!A13</f>
        <v>0</v>
      </c>
      <c r="F14" s="1" t="str">
        <f>_xlfn.XLOOKUP(_xlfn.XLOOKUP(テーブル20[[#This Row],[ID]],T!$A:$A,T!$AK:$AK,"",0),エリア一覧[ID],エリア一覧[エリア],"",0)</f>
        <v/>
      </c>
      <c r="G14" s="1" t="str">
        <f>_xlfn.XLOOKUP(_xlfn.XLOOKUP(テーブル20[[#This Row],[ID]],T!$A:$A,T!$B:$B,"",0),追変ステータス[ステータスID],追変ステータス[ステータス],"",0)</f>
        <v/>
      </c>
      <c r="H14" t="str">
        <f>_xlfn.XLOOKUP(テーブル20[[#This Row],[ID]],T!$A:$A,T!$N:$N,"",0)</f>
        <v/>
      </c>
      <c r="I14" s="1" t="str">
        <f>_xlfn.XLOOKUP(_xlfn.XLOOKUP(テーブル20[[#This Row],[ID]],T!$A:$A,T!$AT:$AT,"",0),社員リスト[ユーザID],社員リスト[名前],"",0)</f>
        <v/>
      </c>
      <c r="J14" s="538" t="str">
        <f>_xlfn.XLOOKUP(テーブル20[[#This Row],[ID]],T!$A:$A,T!$I:$I,"",0)</f>
        <v/>
      </c>
      <c r="K14" s="540" t="str">
        <f>_xlfn.XLOOKUP(テーブル20[[#This Row],[ID]],T!$A:$A,T!$AI:$AI,"",0)</f>
        <v/>
      </c>
      <c r="L14" s="71" t="str">
        <f>_xlfn.XLOOKUP(テーブル20[[#This Row],[ID]],T!$A:$A,T!$AN:$AN,"",0)</f>
        <v/>
      </c>
      <c r="M14" s="71" t="str">
        <f>_xlfn.XLOOKUP(テーブル20[[#This Row],[ID]],T!$A:$A,T!$AO:$AO,"",0)</f>
        <v/>
      </c>
    </row>
    <row r="15" spans="1:38">
      <c r="A15">
        <v>2</v>
      </c>
      <c r="B15" s="37"/>
      <c r="D15" s="541" t="str">
        <f>IF(T!A14&lt;&gt;"",HYPERLINK("https://nextoffice.next-hd.co.jp/pleasanter/items/"&amp;T!A14&amp;"/edit","開く"),"")</f>
        <v/>
      </c>
      <c r="E15" s="76">
        <f>T!A14</f>
        <v>0</v>
      </c>
      <c r="F15" s="1" t="str">
        <f>_xlfn.XLOOKUP(_xlfn.XLOOKUP(テーブル20[[#This Row],[ID]],T!$A:$A,T!$AK:$AK,"",0),エリア一覧[ID],エリア一覧[エリア],"",0)</f>
        <v/>
      </c>
      <c r="G15" s="1" t="str">
        <f>_xlfn.XLOOKUP(_xlfn.XLOOKUP(テーブル20[[#This Row],[ID]],T!$A:$A,T!$B:$B,"",0),追変ステータス[ステータスID],追変ステータス[ステータス],"",0)</f>
        <v/>
      </c>
      <c r="H15" t="str">
        <f>_xlfn.XLOOKUP(テーブル20[[#This Row],[ID]],T!$A:$A,T!$N:$N,"",0)</f>
        <v/>
      </c>
      <c r="I15" s="1" t="str">
        <f>_xlfn.XLOOKUP(_xlfn.XLOOKUP(テーブル20[[#This Row],[ID]],T!$A:$A,T!$AT:$AT,"",0),社員リスト[ユーザID],社員リスト[名前],"",0)</f>
        <v/>
      </c>
      <c r="J15" s="538" t="str">
        <f>_xlfn.XLOOKUP(テーブル20[[#This Row],[ID]],T!$A:$A,T!$I:$I,"",0)</f>
        <v/>
      </c>
      <c r="K15" s="540" t="str">
        <f>_xlfn.XLOOKUP(テーブル20[[#This Row],[ID]],T!$A:$A,T!$AI:$AI,"",0)</f>
        <v/>
      </c>
      <c r="L15" s="71" t="str">
        <f>_xlfn.XLOOKUP(テーブル20[[#This Row],[ID]],T!$A:$A,T!$AN:$AN,"",0)</f>
        <v/>
      </c>
      <c r="M15" s="71" t="str">
        <f>_xlfn.XLOOKUP(テーブル20[[#This Row],[ID]],T!$A:$A,T!$AO:$AO,"",0)</f>
        <v/>
      </c>
    </row>
    <row r="16" spans="1:38">
      <c r="A16">
        <v>3</v>
      </c>
      <c r="B16" s="37"/>
      <c r="D16" s="541" t="str">
        <f>IF(T!A15&lt;&gt;"",HYPERLINK("https://nextoffice.next-hd.co.jp/pleasanter/items/"&amp;T!A15&amp;"/edit","開く"),"")</f>
        <v/>
      </c>
      <c r="E16" s="76">
        <f>T!A15</f>
        <v>0</v>
      </c>
      <c r="F16" s="1" t="str">
        <f>_xlfn.XLOOKUP(_xlfn.XLOOKUP(テーブル20[[#This Row],[ID]],T!$A:$A,T!$AK:$AK,"",0),エリア一覧[ID],エリア一覧[エリア],"",0)</f>
        <v/>
      </c>
      <c r="G16" s="1" t="str">
        <f>_xlfn.XLOOKUP(_xlfn.XLOOKUP(テーブル20[[#This Row],[ID]],T!$A:$A,T!$B:$B,"",0),追変ステータス[ステータスID],追変ステータス[ステータス],"",0)</f>
        <v/>
      </c>
      <c r="H16" t="str">
        <f>_xlfn.XLOOKUP(テーブル20[[#This Row],[ID]],T!$A:$A,T!$N:$N,"",0)</f>
        <v/>
      </c>
      <c r="I16" s="1" t="str">
        <f>_xlfn.XLOOKUP(_xlfn.XLOOKUP(テーブル20[[#This Row],[ID]],T!$A:$A,T!$AT:$AT,"",0),社員リスト[ユーザID],社員リスト[名前],"",0)</f>
        <v/>
      </c>
      <c r="J16" s="538" t="str">
        <f>_xlfn.XLOOKUP(テーブル20[[#This Row],[ID]],T!$A:$A,T!$I:$I,"",0)</f>
        <v/>
      </c>
      <c r="K16" s="540" t="str">
        <f>_xlfn.XLOOKUP(テーブル20[[#This Row],[ID]],T!$A:$A,T!$AI:$AI,"",0)</f>
        <v/>
      </c>
      <c r="L16" s="71" t="str">
        <f>_xlfn.XLOOKUP(テーブル20[[#This Row],[ID]],T!$A:$A,T!$AN:$AN,"",0)</f>
        <v/>
      </c>
      <c r="M16" s="71" t="str">
        <f>_xlfn.XLOOKUP(テーブル20[[#This Row],[ID]],T!$A:$A,T!$AO:$AO,"",0)</f>
        <v/>
      </c>
    </row>
    <row r="17" spans="1:13">
      <c r="A17">
        <v>4</v>
      </c>
      <c r="B17" s="37"/>
      <c r="D17" s="541" t="str">
        <f>IF(T!A16&lt;&gt;"",HYPERLINK("https://nextoffice.next-hd.co.jp/pleasanter/items/"&amp;T!A16&amp;"/edit","開く"),"")</f>
        <v/>
      </c>
      <c r="E17" s="76">
        <f>T!A16</f>
        <v>0</v>
      </c>
      <c r="F17" s="1" t="str">
        <f>_xlfn.XLOOKUP(_xlfn.XLOOKUP(テーブル20[[#This Row],[ID]],T!$A:$A,T!$AK:$AK,"",0),エリア一覧[ID],エリア一覧[エリア],"",0)</f>
        <v/>
      </c>
      <c r="G17" s="1" t="str">
        <f>_xlfn.XLOOKUP(_xlfn.XLOOKUP(テーブル20[[#This Row],[ID]],T!$A:$A,T!$B:$B,"",0),追変ステータス[ステータスID],追変ステータス[ステータス],"",0)</f>
        <v/>
      </c>
      <c r="H17" t="str">
        <f>_xlfn.XLOOKUP(テーブル20[[#This Row],[ID]],T!$A:$A,T!$N:$N,"",0)</f>
        <v/>
      </c>
      <c r="I17" s="1" t="str">
        <f>_xlfn.XLOOKUP(_xlfn.XLOOKUP(テーブル20[[#This Row],[ID]],T!$A:$A,T!$AT:$AT,"",0),社員リスト[ユーザID],社員リスト[名前],"",0)</f>
        <v/>
      </c>
      <c r="J17" s="538" t="str">
        <f>_xlfn.XLOOKUP(テーブル20[[#This Row],[ID]],T!$A:$A,T!$I:$I,"",0)</f>
        <v/>
      </c>
      <c r="K17" s="540" t="str">
        <f>_xlfn.XLOOKUP(テーブル20[[#This Row],[ID]],T!$A:$A,T!$AI:$AI,"",0)</f>
        <v/>
      </c>
      <c r="L17" s="71" t="str">
        <f>_xlfn.XLOOKUP(テーブル20[[#This Row],[ID]],T!$A:$A,T!$AN:$AN,"",0)</f>
        <v/>
      </c>
      <c r="M17" s="71" t="str">
        <f>_xlfn.XLOOKUP(テーブル20[[#This Row],[ID]],T!$A:$A,T!$AO:$AO,"",0)</f>
        <v/>
      </c>
    </row>
    <row r="18" spans="1:13">
      <c r="A18">
        <v>5</v>
      </c>
      <c r="B18" s="37"/>
      <c r="D18" s="541" t="str">
        <f>IF(T!A17&lt;&gt;"",HYPERLINK("https://nextoffice.next-hd.co.jp/pleasanter/items/"&amp;T!A17&amp;"/edit","開く"),"")</f>
        <v/>
      </c>
      <c r="E18" s="76">
        <f>T!A17</f>
        <v>0</v>
      </c>
      <c r="F18" s="1" t="str">
        <f>_xlfn.XLOOKUP(_xlfn.XLOOKUP(テーブル20[[#This Row],[ID]],T!$A:$A,T!$AK:$AK,"",0),エリア一覧[ID],エリア一覧[エリア],"",0)</f>
        <v/>
      </c>
      <c r="G18" s="1" t="str">
        <f>_xlfn.XLOOKUP(_xlfn.XLOOKUP(テーブル20[[#This Row],[ID]],T!$A:$A,T!$B:$B,"",0),追変ステータス[ステータスID],追変ステータス[ステータス],"",0)</f>
        <v/>
      </c>
      <c r="H18" t="str">
        <f>_xlfn.XLOOKUP(テーブル20[[#This Row],[ID]],T!$A:$A,T!$N:$N,"",0)</f>
        <v/>
      </c>
      <c r="I18" s="1" t="str">
        <f>_xlfn.XLOOKUP(_xlfn.XLOOKUP(テーブル20[[#This Row],[ID]],T!$A:$A,T!$AT:$AT,"",0),社員リスト[ユーザID],社員リスト[名前],"",0)</f>
        <v/>
      </c>
      <c r="J18" s="538" t="str">
        <f>_xlfn.XLOOKUP(テーブル20[[#This Row],[ID]],T!$A:$A,T!$I:$I,"",0)</f>
        <v/>
      </c>
      <c r="K18" s="540" t="str">
        <f>_xlfn.XLOOKUP(テーブル20[[#This Row],[ID]],T!$A:$A,T!$AI:$AI,"",0)</f>
        <v/>
      </c>
      <c r="L18" s="71" t="str">
        <f>_xlfn.XLOOKUP(テーブル20[[#This Row],[ID]],T!$A:$A,T!$AN:$AN,"",0)</f>
        <v/>
      </c>
      <c r="M18" s="71" t="str">
        <f>_xlfn.XLOOKUP(テーブル20[[#This Row],[ID]],T!$A:$A,T!$AO:$AO,"",0)</f>
        <v/>
      </c>
    </row>
    <row r="19" spans="1:13">
      <c r="A19">
        <v>6</v>
      </c>
      <c r="B19" s="37"/>
      <c r="D19" s="541" t="str">
        <f>IF(T!A18&lt;&gt;"",HYPERLINK("https://nextoffice.next-hd.co.jp/pleasanter/items/"&amp;T!A18&amp;"/edit","開く"),"")</f>
        <v/>
      </c>
      <c r="E19" s="76">
        <f>T!A18</f>
        <v>0</v>
      </c>
      <c r="F19" s="1" t="str">
        <f>_xlfn.XLOOKUP(_xlfn.XLOOKUP(テーブル20[[#This Row],[ID]],T!$A:$A,T!$AK:$AK,"",0),エリア一覧[ID],エリア一覧[エリア],"",0)</f>
        <v/>
      </c>
      <c r="G19" s="1" t="str">
        <f>_xlfn.XLOOKUP(_xlfn.XLOOKUP(テーブル20[[#This Row],[ID]],T!$A:$A,T!$B:$B,"",0),追変ステータス[ステータスID],追変ステータス[ステータス],"",0)</f>
        <v/>
      </c>
      <c r="H19" t="str">
        <f>_xlfn.XLOOKUP(テーブル20[[#This Row],[ID]],T!$A:$A,T!$N:$N,"",0)</f>
        <v/>
      </c>
      <c r="I19" s="1" t="str">
        <f>_xlfn.XLOOKUP(_xlfn.XLOOKUP(テーブル20[[#This Row],[ID]],T!$A:$A,T!$AT:$AT,"",0),社員リスト[ユーザID],社員リスト[名前],"",0)</f>
        <v/>
      </c>
      <c r="J19" s="538" t="str">
        <f>_xlfn.XLOOKUP(テーブル20[[#This Row],[ID]],T!$A:$A,T!$I:$I,"",0)</f>
        <v/>
      </c>
      <c r="K19" s="540" t="str">
        <f>_xlfn.XLOOKUP(テーブル20[[#This Row],[ID]],T!$A:$A,T!$AI:$AI,"",0)</f>
        <v/>
      </c>
      <c r="L19" s="71" t="str">
        <f>_xlfn.XLOOKUP(テーブル20[[#This Row],[ID]],T!$A:$A,T!$AN:$AN,"",0)</f>
        <v/>
      </c>
      <c r="M19" s="71" t="str">
        <f>_xlfn.XLOOKUP(テーブル20[[#This Row],[ID]],T!$A:$A,T!$AO:$AO,"",0)</f>
        <v/>
      </c>
    </row>
    <row r="20" spans="1:13">
      <c r="A20">
        <v>7</v>
      </c>
      <c r="B20" s="37"/>
      <c r="D20" s="541" t="str">
        <f>IF(T!A19&lt;&gt;"",HYPERLINK("https://nextoffice.next-hd.co.jp/pleasanter/items/"&amp;T!A19&amp;"/edit","開く"),"")</f>
        <v/>
      </c>
      <c r="E20" s="76">
        <f>T!A19</f>
        <v>0</v>
      </c>
      <c r="F20" s="1" t="str">
        <f>_xlfn.XLOOKUP(_xlfn.XLOOKUP(テーブル20[[#This Row],[ID]],T!$A:$A,T!$AK:$AK,"",0),エリア一覧[ID],エリア一覧[エリア],"",0)</f>
        <v/>
      </c>
      <c r="G20" s="1" t="str">
        <f>_xlfn.XLOOKUP(_xlfn.XLOOKUP(テーブル20[[#This Row],[ID]],T!$A:$A,T!$B:$B,"",0),追変ステータス[ステータスID],追変ステータス[ステータス],"",0)</f>
        <v/>
      </c>
      <c r="H20" t="str">
        <f>_xlfn.XLOOKUP(テーブル20[[#This Row],[ID]],T!$A:$A,T!$N:$N,"",0)</f>
        <v/>
      </c>
      <c r="I20" s="1" t="str">
        <f>_xlfn.XLOOKUP(_xlfn.XLOOKUP(テーブル20[[#This Row],[ID]],T!$A:$A,T!$AT:$AT,"",0),社員リスト[ユーザID],社員リスト[名前],"",0)</f>
        <v/>
      </c>
      <c r="J20" s="538" t="str">
        <f>_xlfn.XLOOKUP(テーブル20[[#This Row],[ID]],T!$A:$A,T!$I:$I,"",0)</f>
        <v/>
      </c>
      <c r="K20" s="540" t="str">
        <f>_xlfn.XLOOKUP(テーブル20[[#This Row],[ID]],T!$A:$A,T!$AI:$AI,"",0)</f>
        <v/>
      </c>
      <c r="L20" s="71" t="str">
        <f>_xlfn.XLOOKUP(テーブル20[[#This Row],[ID]],T!$A:$A,T!$AN:$AN,"",0)</f>
        <v/>
      </c>
      <c r="M20" s="71" t="str">
        <f>_xlfn.XLOOKUP(テーブル20[[#This Row],[ID]],T!$A:$A,T!$AO:$AO,"",0)</f>
        <v/>
      </c>
    </row>
    <row r="21" spans="1:13">
      <c r="A21">
        <v>8</v>
      </c>
      <c r="B21" s="37"/>
      <c r="D21" s="541" t="str">
        <f>IF(T!A20&lt;&gt;"",HYPERLINK("https://nextoffice.next-hd.co.jp/pleasanter/items/"&amp;T!A20&amp;"/edit","開く"),"")</f>
        <v/>
      </c>
      <c r="E21" s="76">
        <f>T!A20</f>
        <v>0</v>
      </c>
      <c r="F21" s="1" t="str">
        <f>_xlfn.XLOOKUP(_xlfn.XLOOKUP(テーブル20[[#This Row],[ID]],T!$A:$A,T!$AK:$AK,"",0),エリア一覧[ID],エリア一覧[エリア],"",0)</f>
        <v/>
      </c>
      <c r="G21" s="1" t="str">
        <f>_xlfn.XLOOKUP(_xlfn.XLOOKUP(テーブル20[[#This Row],[ID]],T!$A:$A,T!$B:$B,"",0),追変ステータス[ステータスID],追変ステータス[ステータス],"",0)</f>
        <v/>
      </c>
      <c r="H21" t="str">
        <f>_xlfn.XLOOKUP(テーブル20[[#This Row],[ID]],T!$A:$A,T!$N:$N,"",0)</f>
        <v/>
      </c>
      <c r="I21" s="1" t="str">
        <f>_xlfn.XLOOKUP(_xlfn.XLOOKUP(テーブル20[[#This Row],[ID]],T!$A:$A,T!$AT:$AT,"",0),社員リスト[ユーザID],社員リスト[名前],"",0)</f>
        <v/>
      </c>
      <c r="J21" s="538" t="str">
        <f>_xlfn.XLOOKUP(テーブル20[[#This Row],[ID]],T!$A:$A,T!$I:$I,"",0)</f>
        <v/>
      </c>
      <c r="K21" s="540" t="str">
        <f>_xlfn.XLOOKUP(テーブル20[[#This Row],[ID]],T!$A:$A,T!$AI:$AI,"",0)</f>
        <v/>
      </c>
      <c r="L21" s="71" t="str">
        <f>_xlfn.XLOOKUP(テーブル20[[#This Row],[ID]],T!$A:$A,T!$AN:$AN,"",0)</f>
        <v/>
      </c>
      <c r="M21" s="71" t="str">
        <f>_xlfn.XLOOKUP(テーブル20[[#This Row],[ID]],T!$A:$A,T!$AO:$AO,"",0)</f>
        <v/>
      </c>
    </row>
    <row r="22" spans="1:13">
      <c r="A22">
        <v>9</v>
      </c>
      <c r="B22" s="37"/>
      <c r="D22" s="541" t="str">
        <f>IF(T!A21&lt;&gt;"",HYPERLINK("https://nextoffice.next-hd.co.jp/pleasanter/items/"&amp;T!A21&amp;"/edit","開く"),"")</f>
        <v/>
      </c>
      <c r="E22" s="76">
        <f>T!A21</f>
        <v>0</v>
      </c>
      <c r="F22" s="1" t="str">
        <f>_xlfn.XLOOKUP(_xlfn.XLOOKUP(テーブル20[[#This Row],[ID]],T!$A:$A,T!$AK:$AK,"",0),エリア一覧[ID],エリア一覧[エリア],"",0)</f>
        <v/>
      </c>
      <c r="G22" s="1" t="str">
        <f>_xlfn.XLOOKUP(_xlfn.XLOOKUP(テーブル20[[#This Row],[ID]],T!$A:$A,T!$B:$B,"",0),追変ステータス[ステータスID],追変ステータス[ステータス],"",0)</f>
        <v/>
      </c>
      <c r="H22" t="str">
        <f>_xlfn.XLOOKUP(テーブル20[[#This Row],[ID]],T!$A:$A,T!$N:$N,"",0)</f>
        <v/>
      </c>
      <c r="I22" s="1" t="str">
        <f>_xlfn.XLOOKUP(_xlfn.XLOOKUP(テーブル20[[#This Row],[ID]],T!$A:$A,T!$AT:$AT,"",0),社員リスト[ユーザID],社員リスト[名前],"",0)</f>
        <v/>
      </c>
      <c r="J22" s="538" t="str">
        <f>_xlfn.XLOOKUP(テーブル20[[#This Row],[ID]],T!$A:$A,T!$I:$I,"",0)</f>
        <v/>
      </c>
      <c r="K22" s="540" t="str">
        <f>_xlfn.XLOOKUP(テーブル20[[#This Row],[ID]],T!$A:$A,T!$AI:$AI,"",0)</f>
        <v/>
      </c>
      <c r="L22" s="71" t="str">
        <f>_xlfn.XLOOKUP(テーブル20[[#This Row],[ID]],T!$A:$A,T!$AN:$AN,"",0)</f>
        <v/>
      </c>
      <c r="M22" s="71" t="str">
        <f>_xlfn.XLOOKUP(テーブル20[[#This Row],[ID]],T!$A:$A,T!$AO:$AO,"",0)</f>
        <v/>
      </c>
    </row>
    <row r="23" spans="1:13">
      <c r="A23">
        <v>10</v>
      </c>
      <c r="B23" s="37"/>
      <c r="D23" s="541" t="str">
        <f>IF(T!A22&lt;&gt;"",HYPERLINK("https://nextoffice.next-hd.co.jp/pleasanter/items/"&amp;T!A22&amp;"/edit","開く"),"")</f>
        <v/>
      </c>
      <c r="E23" s="76">
        <f>T!A22</f>
        <v>0</v>
      </c>
      <c r="F23" s="1" t="str">
        <f>_xlfn.XLOOKUP(_xlfn.XLOOKUP(テーブル20[[#This Row],[ID]],T!$A:$A,T!$AK:$AK,"",0),エリア一覧[ID],エリア一覧[エリア],"",0)</f>
        <v/>
      </c>
      <c r="G23" s="1" t="str">
        <f>_xlfn.XLOOKUP(_xlfn.XLOOKUP(テーブル20[[#This Row],[ID]],T!$A:$A,T!$B:$B,"",0),追変ステータス[ステータスID],追変ステータス[ステータス],"",0)</f>
        <v/>
      </c>
      <c r="H23" t="str">
        <f>_xlfn.XLOOKUP(テーブル20[[#This Row],[ID]],T!$A:$A,T!$N:$N,"",0)</f>
        <v/>
      </c>
      <c r="I23" s="1" t="str">
        <f>_xlfn.XLOOKUP(_xlfn.XLOOKUP(テーブル20[[#This Row],[ID]],T!$A:$A,T!$AT:$AT,"",0),社員リスト[ユーザID],社員リスト[名前],"",0)</f>
        <v/>
      </c>
      <c r="J23" s="538" t="str">
        <f>_xlfn.XLOOKUP(テーブル20[[#This Row],[ID]],T!$A:$A,T!$I:$I,"",0)</f>
        <v/>
      </c>
      <c r="K23" s="540" t="str">
        <f>_xlfn.XLOOKUP(テーブル20[[#This Row],[ID]],T!$A:$A,T!$AI:$AI,"",0)</f>
        <v/>
      </c>
      <c r="L23" s="71" t="str">
        <f>_xlfn.XLOOKUP(テーブル20[[#This Row],[ID]],T!$A:$A,T!$AN:$AN,"",0)</f>
        <v/>
      </c>
      <c r="M23" s="71" t="str">
        <f>_xlfn.XLOOKUP(テーブル20[[#This Row],[ID]],T!$A:$A,T!$AO:$AO,"",0)</f>
        <v/>
      </c>
    </row>
    <row r="24" spans="1:13">
      <c r="A24">
        <v>11</v>
      </c>
      <c r="B24" s="37"/>
      <c r="D24" s="541" t="str">
        <f>IF(T!A23&lt;&gt;"",HYPERLINK("https://nextoffice.next-hd.co.jp/pleasanter/items/"&amp;T!A23&amp;"/edit","開く"),"")</f>
        <v/>
      </c>
      <c r="E24" s="76">
        <f>T!A23</f>
        <v>0</v>
      </c>
      <c r="F24" s="1" t="str">
        <f>_xlfn.XLOOKUP(_xlfn.XLOOKUP(テーブル20[[#This Row],[ID]],T!$A:$A,T!$AK:$AK,"",0),エリア一覧[ID],エリア一覧[エリア],"",0)</f>
        <v/>
      </c>
      <c r="G24" s="1" t="str">
        <f>_xlfn.XLOOKUP(_xlfn.XLOOKUP(テーブル20[[#This Row],[ID]],T!$A:$A,T!$B:$B,"",0),追変ステータス[ステータスID],追変ステータス[ステータス],"",0)</f>
        <v/>
      </c>
      <c r="H24" t="str">
        <f>_xlfn.XLOOKUP(テーブル20[[#This Row],[ID]],T!$A:$A,T!$N:$N,"",0)</f>
        <v/>
      </c>
      <c r="I24" s="1" t="str">
        <f>_xlfn.XLOOKUP(_xlfn.XLOOKUP(テーブル20[[#This Row],[ID]],T!$A:$A,T!$AT:$AT,"",0),社員リスト[ユーザID],社員リスト[名前],"",0)</f>
        <v/>
      </c>
      <c r="J24" s="538" t="str">
        <f>_xlfn.XLOOKUP(テーブル20[[#This Row],[ID]],T!$A:$A,T!$I:$I,"",0)</f>
        <v/>
      </c>
      <c r="K24" s="540" t="str">
        <f>_xlfn.XLOOKUP(テーブル20[[#This Row],[ID]],T!$A:$A,T!$AI:$AI,"",0)</f>
        <v/>
      </c>
      <c r="L24" s="71" t="str">
        <f>_xlfn.XLOOKUP(テーブル20[[#This Row],[ID]],T!$A:$A,T!$AN:$AN,"",0)</f>
        <v/>
      </c>
      <c r="M24" s="71" t="str">
        <f>_xlfn.XLOOKUP(テーブル20[[#This Row],[ID]],T!$A:$A,T!$AO:$AO,"",0)</f>
        <v/>
      </c>
    </row>
    <row r="25" spans="1:13">
      <c r="A25">
        <v>12</v>
      </c>
      <c r="B25" s="37"/>
      <c r="D25" s="541" t="str">
        <f>IF(T!A24&lt;&gt;"",HYPERLINK("https://nextoffice.next-hd.co.jp/pleasanter/items/"&amp;T!A24&amp;"/edit","開く"),"")</f>
        <v/>
      </c>
      <c r="E25" s="76">
        <f>T!A24</f>
        <v>0</v>
      </c>
      <c r="F25" s="1" t="str">
        <f>_xlfn.XLOOKUP(_xlfn.XLOOKUP(テーブル20[[#This Row],[ID]],T!$A:$A,T!$AK:$AK,"",0),エリア一覧[ID],エリア一覧[エリア],"",0)</f>
        <v/>
      </c>
      <c r="G25" s="1" t="str">
        <f>_xlfn.XLOOKUP(_xlfn.XLOOKUP(テーブル20[[#This Row],[ID]],T!$A:$A,T!$B:$B,"",0),追変ステータス[ステータスID],追変ステータス[ステータス],"",0)</f>
        <v/>
      </c>
      <c r="H25" t="str">
        <f>_xlfn.XLOOKUP(テーブル20[[#This Row],[ID]],T!$A:$A,T!$N:$N,"",0)</f>
        <v/>
      </c>
      <c r="I25" s="1" t="str">
        <f>_xlfn.XLOOKUP(_xlfn.XLOOKUP(テーブル20[[#This Row],[ID]],T!$A:$A,T!$AT:$AT,"",0),社員リスト[ユーザID],社員リスト[名前],"",0)</f>
        <v/>
      </c>
      <c r="J25" s="538" t="str">
        <f>_xlfn.XLOOKUP(テーブル20[[#This Row],[ID]],T!$A:$A,T!$I:$I,"",0)</f>
        <v/>
      </c>
      <c r="K25" s="540" t="str">
        <f>_xlfn.XLOOKUP(テーブル20[[#This Row],[ID]],T!$A:$A,T!$AI:$AI,"",0)</f>
        <v/>
      </c>
      <c r="L25" s="71" t="str">
        <f>_xlfn.XLOOKUP(テーブル20[[#This Row],[ID]],T!$A:$A,T!$AN:$AN,"",0)</f>
        <v/>
      </c>
      <c r="M25" s="71" t="str">
        <f>_xlfn.XLOOKUP(テーブル20[[#This Row],[ID]],T!$A:$A,T!$AO:$AO,"",0)</f>
        <v/>
      </c>
    </row>
    <row r="26" spans="1:13">
      <c r="A26">
        <v>13</v>
      </c>
      <c r="B26" s="37"/>
      <c r="D26" s="541" t="str">
        <f>IF(T!A25&lt;&gt;"",HYPERLINK("https://nextoffice.next-hd.co.jp/pleasanter/items/"&amp;T!A25&amp;"/edit","開く"),"")</f>
        <v/>
      </c>
      <c r="E26" s="76">
        <f>T!A25</f>
        <v>0</v>
      </c>
      <c r="F26" s="1" t="str">
        <f>_xlfn.XLOOKUP(_xlfn.XLOOKUP(テーブル20[[#This Row],[ID]],T!$A:$A,T!$AK:$AK,"",0),エリア一覧[ID],エリア一覧[エリア],"",0)</f>
        <v/>
      </c>
      <c r="G26" s="1" t="str">
        <f>_xlfn.XLOOKUP(_xlfn.XLOOKUP(テーブル20[[#This Row],[ID]],T!$A:$A,T!$B:$B,"",0),追変ステータス[ステータスID],追変ステータス[ステータス],"",0)</f>
        <v/>
      </c>
      <c r="H26" t="str">
        <f>_xlfn.XLOOKUP(テーブル20[[#This Row],[ID]],T!$A:$A,T!$N:$N,"",0)</f>
        <v/>
      </c>
      <c r="I26" s="1" t="str">
        <f>_xlfn.XLOOKUP(_xlfn.XLOOKUP(テーブル20[[#This Row],[ID]],T!$A:$A,T!$AT:$AT,"",0),社員リスト[ユーザID],社員リスト[名前],"",0)</f>
        <v/>
      </c>
      <c r="J26" s="538" t="str">
        <f>_xlfn.XLOOKUP(テーブル20[[#This Row],[ID]],T!$A:$A,T!$I:$I,"",0)</f>
        <v/>
      </c>
      <c r="K26" s="540" t="str">
        <f>_xlfn.XLOOKUP(テーブル20[[#This Row],[ID]],T!$A:$A,T!$AI:$AI,"",0)</f>
        <v/>
      </c>
      <c r="L26" s="71" t="str">
        <f>_xlfn.XLOOKUP(テーブル20[[#This Row],[ID]],T!$A:$A,T!$AN:$AN,"",0)</f>
        <v/>
      </c>
      <c r="M26" s="71" t="str">
        <f>_xlfn.XLOOKUP(テーブル20[[#This Row],[ID]],T!$A:$A,T!$AO:$AO,"",0)</f>
        <v/>
      </c>
    </row>
    <row r="27" spans="1:13">
      <c r="A27">
        <v>14</v>
      </c>
      <c r="B27" s="37"/>
      <c r="D27" s="541" t="str">
        <f>IF(T!A26&lt;&gt;"",HYPERLINK("https://nextoffice.next-hd.co.jp/pleasanter/items/"&amp;T!A26&amp;"/edit","開く"),"")</f>
        <v/>
      </c>
      <c r="E27" s="76">
        <f>T!A26</f>
        <v>0</v>
      </c>
      <c r="F27" s="1" t="str">
        <f>_xlfn.XLOOKUP(_xlfn.XLOOKUP(テーブル20[[#This Row],[ID]],T!$A:$A,T!$AK:$AK,"",0),エリア一覧[ID],エリア一覧[エリア],"",0)</f>
        <v/>
      </c>
      <c r="G27" s="1" t="str">
        <f>_xlfn.XLOOKUP(_xlfn.XLOOKUP(テーブル20[[#This Row],[ID]],T!$A:$A,T!$B:$B,"",0),追変ステータス[ステータスID],追変ステータス[ステータス],"",0)</f>
        <v/>
      </c>
      <c r="H27" t="str">
        <f>_xlfn.XLOOKUP(テーブル20[[#This Row],[ID]],T!$A:$A,T!$N:$N,"",0)</f>
        <v/>
      </c>
      <c r="I27" s="1" t="str">
        <f>_xlfn.XLOOKUP(_xlfn.XLOOKUP(テーブル20[[#This Row],[ID]],T!$A:$A,T!$AT:$AT,"",0),社員リスト[ユーザID],社員リスト[名前],"",0)</f>
        <v/>
      </c>
      <c r="J27" s="538" t="str">
        <f>_xlfn.XLOOKUP(テーブル20[[#This Row],[ID]],T!$A:$A,T!$I:$I,"",0)</f>
        <v/>
      </c>
      <c r="K27" s="540" t="str">
        <f>_xlfn.XLOOKUP(テーブル20[[#This Row],[ID]],T!$A:$A,T!$AI:$AI,"",0)</f>
        <v/>
      </c>
      <c r="L27" s="71" t="str">
        <f>_xlfn.XLOOKUP(テーブル20[[#This Row],[ID]],T!$A:$A,T!$AN:$AN,"",0)</f>
        <v/>
      </c>
      <c r="M27" s="71" t="str">
        <f>_xlfn.XLOOKUP(テーブル20[[#This Row],[ID]],T!$A:$A,T!$AO:$AO,"",0)</f>
        <v/>
      </c>
    </row>
    <row r="28" spans="1:13">
      <c r="A28">
        <v>15</v>
      </c>
      <c r="B28" s="37"/>
      <c r="D28" s="541" t="str">
        <f>IF(T!A27&lt;&gt;"",HYPERLINK("https://nextoffice.next-hd.co.jp/pleasanter/items/"&amp;T!A27&amp;"/edit","開く"),"")</f>
        <v/>
      </c>
      <c r="E28" s="76">
        <f>T!A27</f>
        <v>0</v>
      </c>
      <c r="F28" s="1" t="str">
        <f>_xlfn.XLOOKUP(_xlfn.XLOOKUP(テーブル20[[#This Row],[ID]],T!$A:$A,T!$AK:$AK,"",0),エリア一覧[ID],エリア一覧[エリア],"",0)</f>
        <v/>
      </c>
      <c r="G28" s="1" t="str">
        <f>_xlfn.XLOOKUP(_xlfn.XLOOKUP(テーブル20[[#This Row],[ID]],T!$A:$A,T!$B:$B,"",0),追変ステータス[ステータスID],追変ステータス[ステータス],"",0)</f>
        <v/>
      </c>
      <c r="H28" t="str">
        <f>_xlfn.XLOOKUP(テーブル20[[#This Row],[ID]],T!$A:$A,T!$N:$N,"",0)</f>
        <v/>
      </c>
      <c r="I28" s="1" t="str">
        <f>_xlfn.XLOOKUP(_xlfn.XLOOKUP(テーブル20[[#This Row],[ID]],T!$A:$A,T!$AT:$AT,"",0),社員リスト[ユーザID],社員リスト[名前],"",0)</f>
        <v/>
      </c>
      <c r="J28" s="538" t="str">
        <f>_xlfn.XLOOKUP(テーブル20[[#This Row],[ID]],T!$A:$A,T!$I:$I,"",0)</f>
        <v/>
      </c>
      <c r="K28" s="540" t="str">
        <f>_xlfn.XLOOKUP(テーブル20[[#This Row],[ID]],T!$A:$A,T!$AI:$AI,"",0)</f>
        <v/>
      </c>
      <c r="L28" s="71" t="str">
        <f>_xlfn.XLOOKUP(テーブル20[[#This Row],[ID]],T!$A:$A,T!$AN:$AN,"",0)</f>
        <v/>
      </c>
      <c r="M28" s="71" t="str">
        <f>_xlfn.XLOOKUP(テーブル20[[#This Row],[ID]],T!$A:$A,T!$AO:$AO,"",0)</f>
        <v/>
      </c>
    </row>
    <row r="29" spans="1:13">
      <c r="A29">
        <v>16</v>
      </c>
      <c r="B29" s="37"/>
      <c r="D29" s="541" t="str">
        <f>IF(T!A28&lt;&gt;"",HYPERLINK("https://nextoffice.next-hd.co.jp/pleasanter/items/"&amp;T!A28&amp;"/edit","開く"),"")</f>
        <v/>
      </c>
      <c r="E29" s="76">
        <f>T!A28</f>
        <v>0</v>
      </c>
      <c r="F29" s="1" t="str">
        <f>_xlfn.XLOOKUP(_xlfn.XLOOKUP(テーブル20[[#This Row],[ID]],T!$A:$A,T!$AK:$AK,"",0),エリア一覧[ID],エリア一覧[エリア],"",0)</f>
        <v/>
      </c>
      <c r="G29" s="1" t="str">
        <f>_xlfn.XLOOKUP(_xlfn.XLOOKUP(テーブル20[[#This Row],[ID]],T!$A:$A,T!$B:$B,"",0),追変ステータス[ステータスID],追変ステータス[ステータス],"",0)</f>
        <v/>
      </c>
      <c r="H29" t="str">
        <f>_xlfn.XLOOKUP(テーブル20[[#This Row],[ID]],T!$A:$A,T!$N:$N,"",0)</f>
        <v/>
      </c>
      <c r="I29" s="1" t="str">
        <f>_xlfn.XLOOKUP(_xlfn.XLOOKUP(テーブル20[[#This Row],[ID]],T!$A:$A,T!$AT:$AT,"",0),社員リスト[ユーザID],社員リスト[名前],"",0)</f>
        <v/>
      </c>
      <c r="J29" s="538" t="str">
        <f>_xlfn.XLOOKUP(テーブル20[[#This Row],[ID]],T!$A:$A,T!$I:$I,"",0)</f>
        <v/>
      </c>
      <c r="K29" s="540" t="str">
        <f>_xlfn.XLOOKUP(テーブル20[[#This Row],[ID]],T!$A:$A,T!$AI:$AI,"",0)</f>
        <v/>
      </c>
      <c r="L29" s="71" t="str">
        <f>_xlfn.XLOOKUP(テーブル20[[#This Row],[ID]],T!$A:$A,T!$AN:$AN,"",0)</f>
        <v/>
      </c>
      <c r="M29" s="71" t="str">
        <f>_xlfn.XLOOKUP(テーブル20[[#This Row],[ID]],T!$A:$A,T!$AO:$AO,"",0)</f>
        <v/>
      </c>
    </row>
    <row r="30" spans="1:13">
      <c r="A30">
        <v>17</v>
      </c>
      <c r="B30" s="37"/>
      <c r="D30" s="541" t="str">
        <f>IF(T!A29&lt;&gt;"",HYPERLINK("https://nextoffice.next-hd.co.jp/pleasanter/items/"&amp;T!A29&amp;"/edit","開く"),"")</f>
        <v/>
      </c>
      <c r="E30" s="76">
        <f>T!A29</f>
        <v>0</v>
      </c>
      <c r="F30" s="1" t="str">
        <f>_xlfn.XLOOKUP(_xlfn.XLOOKUP(テーブル20[[#This Row],[ID]],T!$A:$A,T!$AK:$AK,"",0),エリア一覧[ID],エリア一覧[エリア],"",0)</f>
        <v/>
      </c>
      <c r="G30" s="1" t="str">
        <f>_xlfn.XLOOKUP(_xlfn.XLOOKUP(テーブル20[[#This Row],[ID]],T!$A:$A,T!$B:$B,"",0),追変ステータス[ステータスID],追変ステータス[ステータス],"",0)</f>
        <v/>
      </c>
      <c r="H30" t="str">
        <f>_xlfn.XLOOKUP(テーブル20[[#This Row],[ID]],T!$A:$A,T!$N:$N,"",0)</f>
        <v/>
      </c>
      <c r="I30" s="1" t="str">
        <f>_xlfn.XLOOKUP(_xlfn.XLOOKUP(テーブル20[[#This Row],[ID]],T!$A:$A,T!$AT:$AT,"",0),社員リスト[ユーザID],社員リスト[名前],"",0)</f>
        <v/>
      </c>
      <c r="J30" s="538" t="str">
        <f>_xlfn.XLOOKUP(テーブル20[[#This Row],[ID]],T!$A:$A,T!$I:$I,"",0)</f>
        <v/>
      </c>
      <c r="K30" s="540" t="str">
        <f>_xlfn.XLOOKUP(テーブル20[[#This Row],[ID]],T!$A:$A,T!$AI:$AI,"",0)</f>
        <v/>
      </c>
      <c r="L30" s="71" t="str">
        <f>_xlfn.XLOOKUP(テーブル20[[#This Row],[ID]],T!$A:$A,T!$AN:$AN,"",0)</f>
        <v/>
      </c>
      <c r="M30" s="71" t="str">
        <f>_xlfn.XLOOKUP(テーブル20[[#This Row],[ID]],T!$A:$A,T!$AO:$AO,"",0)</f>
        <v/>
      </c>
    </row>
    <row r="31" spans="1:13">
      <c r="A31">
        <v>18</v>
      </c>
      <c r="B31" s="37"/>
      <c r="D31" s="541" t="str">
        <f>IF(T!A30&lt;&gt;"",HYPERLINK("https://nextoffice.next-hd.co.jp/pleasanter/items/"&amp;T!A30&amp;"/edit","開く"),"")</f>
        <v/>
      </c>
      <c r="E31" s="76">
        <f>T!A30</f>
        <v>0</v>
      </c>
      <c r="F31" s="1" t="str">
        <f>_xlfn.XLOOKUP(_xlfn.XLOOKUP(テーブル20[[#This Row],[ID]],T!$A:$A,T!$AK:$AK,"",0),エリア一覧[ID],エリア一覧[エリア],"",0)</f>
        <v/>
      </c>
      <c r="G31" s="1" t="str">
        <f>_xlfn.XLOOKUP(_xlfn.XLOOKUP(テーブル20[[#This Row],[ID]],T!$A:$A,T!$B:$B,"",0),追変ステータス[ステータスID],追変ステータス[ステータス],"",0)</f>
        <v/>
      </c>
      <c r="H31" t="str">
        <f>_xlfn.XLOOKUP(テーブル20[[#This Row],[ID]],T!$A:$A,T!$N:$N,"",0)</f>
        <v/>
      </c>
      <c r="I31" s="1" t="str">
        <f>_xlfn.XLOOKUP(_xlfn.XLOOKUP(テーブル20[[#This Row],[ID]],T!$A:$A,T!$AT:$AT,"",0),社員リスト[ユーザID],社員リスト[名前],"",0)</f>
        <v/>
      </c>
      <c r="J31" s="538" t="str">
        <f>_xlfn.XLOOKUP(テーブル20[[#This Row],[ID]],T!$A:$A,T!$I:$I,"",0)</f>
        <v/>
      </c>
      <c r="K31" s="540" t="str">
        <f>_xlfn.XLOOKUP(テーブル20[[#This Row],[ID]],T!$A:$A,T!$AI:$AI,"",0)</f>
        <v/>
      </c>
      <c r="L31" s="71" t="str">
        <f>_xlfn.XLOOKUP(テーブル20[[#This Row],[ID]],T!$A:$A,T!$AN:$AN,"",0)</f>
        <v/>
      </c>
      <c r="M31" s="71" t="str">
        <f>_xlfn.XLOOKUP(テーブル20[[#This Row],[ID]],T!$A:$A,T!$AO:$AO,"",0)</f>
        <v/>
      </c>
    </row>
    <row r="32" spans="1:13">
      <c r="A32">
        <v>19</v>
      </c>
      <c r="B32" s="37"/>
      <c r="D32" s="541" t="str">
        <f>IF(T!A31&lt;&gt;"",HYPERLINK("https://nextoffice.next-hd.co.jp/pleasanter/items/"&amp;T!A31&amp;"/edit","開く"),"")</f>
        <v/>
      </c>
      <c r="E32" s="76">
        <f>T!A31</f>
        <v>0</v>
      </c>
      <c r="F32" s="1" t="str">
        <f>_xlfn.XLOOKUP(_xlfn.XLOOKUP(テーブル20[[#This Row],[ID]],T!$A:$A,T!$AK:$AK,"",0),エリア一覧[ID],エリア一覧[エリア],"",0)</f>
        <v/>
      </c>
      <c r="G32" s="1" t="str">
        <f>_xlfn.XLOOKUP(_xlfn.XLOOKUP(テーブル20[[#This Row],[ID]],T!$A:$A,T!$B:$B,"",0),追変ステータス[ステータスID],追変ステータス[ステータス],"",0)</f>
        <v/>
      </c>
      <c r="H32" t="str">
        <f>_xlfn.XLOOKUP(テーブル20[[#This Row],[ID]],T!$A:$A,T!$N:$N,"",0)</f>
        <v/>
      </c>
      <c r="I32" s="1" t="str">
        <f>_xlfn.XLOOKUP(_xlfn.XLOOKUP(テーブル20[[#This Row],[ID]],T!$A:$A,T!$AT:$AT,"",0),社員リスト[ユーザID],社員リスト[名前],"",0)</f>
        <v/>
      </c>
      <c r="J32" s="538" t="str">
        <f>_xlfn.XLOOKUP(テーブル20[[#This Row],[ID]],T!$A:$A,T!$I:$I,"",0)</f>
        <v/>
      </c>
      <c r="K32" s="540" t="str">
        <f>_xlfn.XLOOKUP(テーブル20[[#This Row],[ID]],T!$A:$A,T!$AI:$AI,"",0)</f>
        <v/>
      </c>
      <c r="L32" s="71" t="str">
        <f>_xlfn.XLOOKUP(テーブル20[[#This Row],[ID]],T!$A:$A,T!$AN:$AN,"",0)</f>
        <v/>
      </c>
      <c r="M32" s="71" t="str">
        <f>_xlfn.XLOOKUP(テーブル20[[#This Row],[ID]],T!$A:$A,T!$AO:$AO,"",0)</f>
        <v/>
      </c>
    </row>
    <row r="33" spans="1:13">
      <c r="A33">
        <v>20</v>
      </c>
      <c r="B33" s="37"/>
      <c r="D33" s="541" t="str">
        <f>IF(T!A32&lt;&gt;"",HYPERLINK("https://nextoffice.next-hd.co.jp/pleasanter/items/"&amp;T!A32&amp;"/edit","開く"),"")</f>
        <v/>
      </c>
      <c r="E33" s="76">
        <f>T!A32</f>
        <v>0</v>
      </c>
      <c r="F33" s="1" t="str">
        <f>_xlfn.XLOOKUP(_xlfn.XLOOKUP(テーブル20[[#This Row],[ID]],T!$A:$A,T!$AK:$AK,"",0),エリア一覧[ID],エリア一覧[エリア],"",0)</f>
        <v/>
      </c>
      <c r="G33" s="1" t="str">
        <f>_xlfn.XLOOKUP(_xlfn.XLOOKUP(テーブル20[[#This Row],[ID]],T!$A:$A,T!$B:$B,"",0),追変ステータス[ステータスID],追変ステータス[ステータス],"",0)</f>
        <v/>
      </c>
      <c r="H33" t="str">
        <f>_xlfn.XLOOKUP(テーブル20[[#This Row],[ID]],T!$A:$A,T!$N:$N,"",0)</f>
        <v/>
      </c>
      <c r="I33" s="1" t="str">
        <f>_xlfn.XLOOKUP(_xlfn.XLOOKUP(テーブル20[[#This Row],[ID]],T!$A:$A,T!$AT:$AT,"",0),社員リスト[ユーザID],社員リスト[名前],"",0)</f>
        <v/>
      </c>
      <c r="J33" s="538" t="str">
        <f>_xlfn.XLOOKUP(テーブル20[[#This Row],[ID]],T!$A:$A,T!$I:$I,"",0)</f>
        <v/>
      </c>
      <c r="K33" s="540" t="str">
        <f>_xlfn.XLOOKUP(テーブル20[[#This Row],[ID]],T!$A:$A,T!$AI:$AI,"",0)</f>
        <v/>
      </c>
      <c r="L33" s="71" t="str">
        <f>_xlfn.XLOOKUP(テーブル20[[#This Row],[ID]],T!$A:$A,T!$AN:$AN,"",0)</f>
        <v/>
      </c>
      <c r="M33" s="71" t="str">
        <f>_xlfn.XLOOKUP(テーブル20[[#This Row],[ID]],T!$A:$A,T!$AO:$AO,"",0)</f>
        <v/>
      </c>
    </row>
    <row r="34" spans="1:13">
      <c r="A34">
        <v>21</v>
      </c>
      <c r="B34" s="37"/>
      <c r="D34" s="541" t="str">
        <f>IF(T!A33&lt;&gt;"",HYPERLINK("https://nextoffice.next-hd.co.jp/pleasanter/items/"&amp;T!A33&amp;"/edit","開く"),"")</f>
        <v/>
      </c>
      <c r="E34" s="76">
        <f>T!A33</f>
        <v>0</v>
      </c>
      <c r="F34" s="1" t="str">
        <f>_xlfn.XLOOKUP(_xlfn.XLOOKUP(テーブル20[[#This Row],[ID]],T!$A:$A,T!$AK:$AK,"",0),エリア一覧[ID],エリア一覧[エリア],"",0)</f>
        <v/>
      </c>
      <c r="G34" s="1" t="str">
        <f>_xlfn.XLOOKUP(_xlfn.XLOOKUP(テーブル20[[#This Row],[ID]],T!$A:$A,T!$B:$B,"",0),追変ステータス[ステータスID],追変ステータス[ステータス],"",0)</f>
        <v/>
      </c>
      <c r="H34" t="str">
        <f>_xlfn.XLOOKUP(テーブル20[[#This Row],[ID]],T!$A:$A,T!$N:$N,"",0)</f>
        <v/>
      </c>
      <c r="I34" s="1" t="str">
        <f>_xlfn.XLOOKUP(_xlfn.XLOOKUP(テーブル20[[#This Row],[ID]],T!$A:$A,T!$AT:$AT,"",0),社員リスト[ユーザID],社員リスト[名前],"",0)</f>
        <v/>
      </c>
      <c r="J34" s="538" t="str">
        <f>_xlfn.XLOOKUP(テーブル20[[#This Row],[ID]],T!$A:$A,T!$I:$I,"",0)</f>
        <v/>
      </c>
      <c r="K34" s="540" t="str">
        <f>_xlfn.XLOOKUP(テーブル20[[#This Row],[ID]],T!$A:$A,T!$AI:$AI,"",0)</f>
        <v/>
      </c>
      <c r="L34" s="71" t="str">
        <f>_xlfn.XLOOKUP(テーブル20[[#This Row],[ID]],T!$A:$A,T!$AN:$AN,"",0)</f>
        <v/>
      </c>
      <c r="M34" s="71" t="str">
        <f>_xlfn.XLOOKUP(テーブル20[[#This Row],[ID]],T!$A:$A,T!$AO:$AO,"",0)</f>
        <v/>
      </c>
    </row>
    <row r="35" spans="1:13">
      <c r="A35">
        <v>22</v>
      </c>
      <c r="B35" s="37"/>
      <c r="D35" s="541" t="str">
        <f>IF(T!A34&lt;&gt;"",HYPERLINK("https://nextoffice.next-hd.co.jp/pleasanter/items/"&amp;T!A34&amp;"/edit","開く"),"")</f>
        <v/>
      </c>
      <c r="E35" s="76">
        <f>T!A34</f>
        <v>0</v>
      </c>
      <c r="F35" s="1" t="str">
        <f>_xlfn.XLOOKUP(_xlfn.XLOOKUP(テーブル20[[#This Row],[ID]],T!$A:$A,T!$AK:$AK,"",0),エリア一覧[ID],エリア一覧[エリア],"",0)</f>
        <v/>
      </c>
      <c r="G35" s="1" t="str">
        <f>_xlfn.XLOOKUP(_xlfn.XLOOKUP(テーブル20[[#This Row],[ID]],T!$A:$A,T!$B:$B,"",0),追変ステータス[ステータスID],追変ステータス[ステータス],"",0)</f>
        <v/>
      </c>
      <c r="H35" t="str">
        <f>_xlfn.XLOOKUP(テーブル20[[#This Row],[ID]],T!$A:$A,T!$N:$N,"",0)</f>
        <v/>
      </c>
      <c r="I35" s="1" t="str">
        <f>_xlfn.XLOOKUP(_xlfn.XLOOKUP(テーブル20[[#This Row],[ID]],T!$A:$A,T!$AT:$AT,"",0),社員リスト[ユーザID],社員リスト[名前],"",0)</f>
        <v/>
      </c>
      <c r="J35" s="538" t="str">
        <f>_xlfn.XLOOKUP(テーブル20[[#This Row],[ID]],T!$A:$A,T!$I:$I,"",0)</f>
        <v/>
      </c>
      <c r="K35" s="540" t="str">
        <f>_xlfn.XLOOKUP(テーブル20[[#This Row],[ID]],T!$A:$A,T!$AI:$AI,"",0)</f>
        <v/>
      </c>
      <c r="L35" s="71" t="str">
        <f>_xlfn.XLOOKUP(テーブル20[[#This Row],[ID]],T!$A:$A,T!$AN:$AN,"",0)</f>
        <v/>
      </c>
      <c r="M35" s="71" t="str">
        <f>_xlfn.XLOOKUP(テーブル20[[#This Row],[ID]],T!$A:$A,T!$AO:$AO,"",0)</f>
        <v/>
      </c>
    </row>
    <row r="36" spans="1:13">
      <c r="A36">
        <v>23</v>
      </c>
      <c r="B36" s="37"/>
      <c r="D36" s="541" t="str">
        <f>IF(T!A35&lt;&gt;"",HYPERLINK("https://nextoffice.next-hd.co.jp/pleasanter/items/"&amp;T!A35&amp;"/edit","開く"),"")</f>
        <v/>
      </c>
      <c r="E36" s="76">
        <f>T!A35</f>
        <v>0</v>
      </c>
      <c r="F36" s="1" t="str">
        <f>_xlfn.XLOOKUP(_xlfn.XLOOKUP(テーブル20[[#This Row],[ID]],T!$A:$A,T!$AK:$AK,"",0),エリア一覧[ID],エリア一覧[エリア],"",0)</f>
        <v/>
      </c>
      <c r="G36" s="1" t="str">
        <f>_xlfn.XLOOKUP(_xlfn.XLOOKUP(テーブル20[[#This Row],[ID]],T!$A:$A,T!$B:$B,"",0),追変ステータス[ステータスID],追変ステータス[ステータス],"",0)</f>
        <v/>
      </c>
      <c r="H36" t="str">
        <f>_xlfn.XLOOKUP(テーブル20[[#This Row],[ID]],T!$A:$A,T!$N:$N,"",0)</f>
        <v/>
      </c>
      <c r="I36" s="1" t="str">
        <f>_xlfn.XLOOKUP(_xlfn.XLOOKUP(テーブル20[[#This Row],[ID]],T!$A:$A,T!$AT:$AT,"",0),社員リスト[ユーザID],社員リスト[名前],"",0)</f>
        <v/>
      </c>
      <c r="J36" s="538" t="str">
        <f>_xlfn.XLOOKUP(テーブル20[[#This Row],[ID]],T!$A:$A,T!$I:$I,"",0)</f>
        <v/>
      </c>
      <c r="K36" s="540" t="str">
        <f>_xlfn.XLOOKUP(テーブル20[[#This Row],[ID]],T!$A:$A,T!$AI:$AI,"",0)</f>
        <v/>
      </c>
      <c r="L36" s="71" t="str">
        <f>_xlfn.XLOOKUP(テーブル20[[#This Row],[ID]],T!$A:$A,T!$AN:$AN,"",0)</f>
        <v/>
      </c>
      <c r="M36" s="71" t="str">
        <f>_xlfn.XLOOKUP(テーブル20[[#This Row],[ID]],T!$A:$A,T!$AO:$AO,"",0)</f>
        <v/>
      </c>
    </row>
    <row r="37" spans="1:13">
      <c r="A37">
        <v>24</v>
      </c>
      <c r="B37" s="37"/>
      <c r="D37" s="541" t="str">
        <f>IF(T!A36&lt;&gt;"",HYPERLINK("https://nextoffice.next-hd.co.jp/pleasanter/items/"&amp;T!A36&amp;"/edit","開く"),"")</f>
        <v/>
      </c>
      <c r="E37" s="76">
        <f>T!A36</f>
        <v>0</v>
      </c>
      <c r="F37" s="1" t="str">
        <f>_xlfn.XLOOKUP(_xlfn.XLOOKUP(テーブル20[[#This Row],[ID]],T!$A:$A,T!$AK:$AK,"",0),エリア一覧[ID],エリア一覧[エリア],"",0)</f>
        <v/>
      </c>
      <c r="G37" s="1" t="str">
        <f>_xlfn.XLOOKUP(_xlfn.XLOOKUP(テーブル20[[#This Row],[ID]],T!$A:$A,T!$B:$B,"",0),追変ステータス[ステータスID],追変ステータス[ステータス],"",0)</f>
        <v/>
      </c>
      <c r="H37" t="str">
        <f>_xlfn.XLOOKUP(テーブル20[[#This Row],[ID]],T!$A:$A,T!$N:$N,"",0)</f>
        <v/>
      </c>
      <c r="I37" s="1" t="str">
        <f>_xlfn.XLOOKUP(_xlfn.XLOOKUP(テーブル20[[#This Row],[ID]],T!$A:$A,T!$AT:$AT,"",0),社員リスト[ユーザID],社員リスト[名前],"",0)</f>
        <v/>
      </c>
      <c r="J37" s="538" t="str">
        <f>_xlfn.XLOOKUP(テーブル20[[#This Row],[ID]],T!$A:$A,T!$I:$I,"",0)</f>
        <v/>
      </c>
      <c r="K37" s="540" t="str">
        <f>_xlfn.XLOOKUP(テーブル20[[#This Row],[ID]],T!$A:$A,T!$AI:$AI,"",0)</f>
        <v/>
      </c>
      <c r="L37" s="71" t="str">
        <f>_xlfn.XLOOKUP(テーブル20[[#This Row],[ID]],T!$A:$A,T!$AN:$AN,"",0)</f>
        <v/>
      </c>
      <c r="M37" s="71" t="str">
        <f>_xlfn.XLOOKUP(テーブル20[[#This Row],[ID]],T!$A:$A,T!$AO:$AO,"",0)</f>
        <v/>
      </c>
    </row>
    <row r="38" spans="1:13">
      <c r="A38">
        <v>25</v>
      </c>
      <c r="B38" s="37"/>
      <c r="D38" s="541" t="str">
        <f>IF(T!A37&lt;&gt;"",HYPERLINK("https://nextoffice.next-hd.co.jp/pleasanter/items/"&amp;T!A37&amp;"/edit","開く"),"")</f>
        <v/>
      </c>
      <c r="E38" s="76">
        <f>T!A37</f>
        <v>0</v>
      </c>
      <c r="F38" s="1" t="str">
        <f>_xlfn.XLOOKUP(_xlfn.XLOOKUP(テーブル20[[#This Row],[ID]],T!$A:$A,T!$AK:$AK,"",0),エリア一覧[ID],エリア一覧[エリア],"",0)</f>
        <v/>
      </c>
      <c r="G38" s="1" t="str">
        <f>_xlfn.XLOOKUP(_xlfn.XLOOKUP(テーブル20[[#This Row],[ID]],T!$A:$A,T!$B:$B,"",0),追変ステータス[ステータスID],追変ステータス[ステータス],"",0)</f>
        <v/>
      </c>
      <c r="H38" t="str">
        <f>_xlfn.XLOOKUP(テーブル20[[#This Row],[ID]],T!$A:$A,T!$N:$N,"",0)</f>
        <v/>
      </c>
      <c r="I38" s="1" t="str">
        <f>_xlfn.XLOOKUP(_xlfn.XLOOKUP(テーブル20[[#This Row],[ID]],T!$A:$A,T!$AT:$AT,"",0),社員リスト[ユーザID],社員リスト[名前],"",0)</f>
        <v/>
      </c>
      <c r="J38" s="538" t="str">
        <f>_xlfn.XLOOKUP(テーブル20[[#This Row],[ID]],T!$A:$A,T!$I:$I,"",0)</f>
        <v/>
      </c>
      <c r="K38" s="540" t="str">
        <f>_xlfn.XLOOKUP(テーブル20[[#This Row],[ID]],T!$A:$A,T!$AI:$AI,"",0)</f>
        <v/>
      </c>
      <c r="L38" s="71" t="str">
        <f>_xlfn.XLOOKUP(テーブル20[[#This Row],[ID]],T!$A:$A,T!$AN:$AN,"",0)</f>
        <v/>
      </c>
      <c r="M38" s="71" t="str">
        <f>_xlfn.XLOOKUP(テーブル20[[#This Row],[ID]],T!$A:$A,T!$AO:$AO,"",0)</f>
        <v/>
      </c>
    </row>
    <row r="39" spans="1:13">
      <c r="A39">
        <v>26</v>
      </c>
      <c r="B39" s="37"/>
      <c r="D39" s="541" t="str">
        <f>IF(T!A38&lt;&gt;"",HYPERLINK("https://nextoffice.next-hd.co.jp/pleasanter/items/"&amp;T!A38&amp;"/edit","開く"),"")</f>
        <v/>
      </c>
      <c r="E39" s="76">
        <f>T!A38</f>
        <v>0</v>
      </c>
      <c r="F39" s="1" t="str">
        <f>_xlfn.XLOOKUP(_xlfn.XLOOKUP(テーブル20[[#This Row],[ID]],T!$A:$A,T!$AK:$AK,"",0),エリア一覧[ID],エリア一覧[エリア],"",0)</f>
        <v/>
      </c>
      <c r="G39" s="1" t="str">
        <f>_xlfn.XLOOKUP(_xlfn.XLOOKUP(テーブル20[[#This Row],[ID]],T!$A:$A,T!$B:$B,"",0),追変ステータス[ステータスID],追変ステータス[ステータス],"",0)</f>
        <v/>
      </c>
      <c r="H39" t="str">
        <f>_xlfn.XLOOKUP(テーブル20[[#This Row],[ID]],T!$A:$A,T!$N:$N,"",0)</f>
        <v/>
      </c>
      <c r="I39" s="1" t="str">
        <f>_xlfn.XLOOKUP(_xlfn.XLOOKUP(テーブル20[[#This Row],[ID]],T!$A:$A,T!$AT:$AT,"",0),社員リスト[ユーザID],社員リスト[名前],"",0)</f>
        <v/>
      </c>
      <c r="J39" s="538" t="str">
        <f>_xlfn.XLOOKUP(テーブル20[[#This Row],[ID]],T!$A:$A,T!$I:$I,"",0)</f>
        <v/>
      </c>
      <c r="K39" s="540" t="str">
        <f>_xlfn.XLOOKUP(テーブル20[[#This Row],[ID]],T!$A:$A,T!$AI:$AI,"",0)</f>
        <v/>
      </c>
      <c r="L39" s="71" t="str">
        <f>_xlfn.XLOOKUP(テーブル20[[#This Row],[ID]],T!$A:$A,T!$AN:$AN,"",0)</f>
        <v/>
      </c>
      <c r="M39" s="71" t="str">
        <f>_xlfn.XLOOKUP(テーブル20[[#This Row],[ID]],T!$A:$A,T!$AO:$AO,"",0)</f>
        <v/>
      </c>
    </row>
    <row r="40" spans="1:13">
      <c r="A40">
        <v>27</v>
      </c>
      <c r="B40" s="37"/>
      <c r="D40" s="541" t="str">
        <f>IF(T!A39&lt;&gt;"",HYPERLINK("https://nextoffice.next-hd.co.jp/pleasanter/items/"&amp;T!A39&amp;"/edit","開く"),"")</f>
        <v/>
      </c>
      <c r="E40" s="76">
        <f>T!A39</f>
        <v>0</v>
      </c>
      <c r="F40" s="1" t="str">
        <f>_xlfn.XLOOKUP(_xlfn.XLOOKUP(テーブル20[[#This Row],[ID]],T!$A:$A,T!$AK:$AK,"",0),エリア一覧[ID],エリア一覧[エリア],"",0)</f>
        <v/>
      </c>
      <c r="G40" s="1" t="str">
        <f>_xlfn.XLOOKUP(_xlfn.XLOOKUP(テーブル20[[#This Row],[ID]],T!$A:$A,T!$B:$B,"",0),追変ステータス[ステータスID],追変ステータス[ステータス],"",0)</f>
        <v/>
      </c>
      <c r="H40" t="str">
        <f>_xlfn.XLOOKUP(テーブル20[[#This Row],[ID]],T!$A:$A,T!$N:$N,"",0)</f>
        <v/>
      </c>
      <c r="I40" s="1" t="str">
        <f>_xlfn.XLOOKUP(_xlfn.XLOOKUP(テーブル20[[#This Row],[ID]],T!$A:$A,T!$AT:$AT,"",0),社員リスト[ユーザID],社員リスト[名前],"",0)</f>
        <v/>
      </c>
      <c r="J40" s="538" t="str">
        <f>_xlfn.XLOOKUP(テーブル20[[#This Row],[ID]],T!$A:$A,T!$I:$I,"",0)</f>
        <v/>
      </c>
      <c r="K40" s="540" t="str">
        <f>_xlfn.XLOOKUP(テーブル20[[#This Row],[ID]],T!$A:$A,T!$AI:$AI,"",0)</f>
        <v/>
      </c>
      <c r="L40" s="71" t="str">
        <f>_xlfn.XLOOKUP(テーブル20[[#This Row],[ID]],T!$A:$A,T!$AN:$AN,"",0)</f>
        <v/>
      </c>
      <c r="M40" s="71" t="str">
        <f>_xlfn.XLOOKUP(テーブル20[[#This Row],[ID]],T!$A:$A,T!$AO:$AO,"",0)</f>
        <v/>
      </c>
    </row>
    <row r="41" spans="1:13">
      <c r="A41">
        <v>28</v>
      </c>
      <c r="B41" s="37"/>
      <c r="D41" s="541" t="str">
        <f>IF(T!A40&lt;&gt;"",HYPERLINK("https://nextoffice.next-hd.co.jp/pleasanter/items/"&amp;T!A40&amp;"/edit","開く"),"")</f>
        <v/>
      </c>
      <c r="E41" s="76">
        <f>T!A40</f>
        <v>0</v>
      </c>
      <c r="F41" s="1" t="str">
        <f>_xlfn.XLOOKUP(_xlfn.XLOOKUP(テーブル20[[#This Row],[ID]],T!$A:$A,T!$AK:$AK,"",0),エリア一覧[ID],エリア一覧[エリア],"",0)</f>
        <v/>
      </c>
      <c r="G41" s="1" t="str">
        <f>_xlfn.XLOOKUP(_xlfn.XLOOKUP(テーブル20[[#This Row],[ID]],T!$A:$A,T!$B:$B,"",0),追変ステータス[ステータスID],追変ステータス[ステータス],"",0)</f>
        <v/>
      </c>
      <c r="H41" t="str">
        <f>_xlfn.XLOOKUP(テーブル20[[#This Row],[ID]],T!$A:$A,T!$N:$N,"",0)</f>
        <v/>
      </c>
      <c r="I41" s="1" t="str">
        <f>_xlfn.XLOOKUP(_xlfn.XLOOKUP(テーブル20[[#This Row],[ID]],T!$A:$A,T!$AT:$AT,"",0),社員リスト[ユーザID],社員リスト[名前],"",0)</f>
        <v/>
      </c>
      <c r="J41" s="538" t="str">
        <f>_xlfn.XLOOKUP(テーブル20[[#This Row],[ID]],T!$A:$A,T!$I:$I,"",0)</f>
        <v/>
      </c>
      <c r="K41" s="540" t="str">
        <f>_xlfn.XLOOKUP(テーブル20[[#This Row],[ID]],T!$A:$A,T!$AI:$AI,"",0)</f>
        <v/>
      </c>
      <c r="L41" s="71" t="str">
        <f>_xlfn.XLOOKUP(テーブル20[[#This Row],[ID]],T!$A:$A,T!$AN:$AN,"",0)</f>
        <v/>
      </c>
      <c r="M41" s="71" t="str">
        <f>_xlfn.XLOOKUP(テーブル20[[#This Row],[ID]],T!$A:$A,T!$AO:$AO,"",0)</f>
        <v/>
      </c>
    </row>
    <row r="42" spans="1:13">
      <c r="A42">
        <v>29</v>
      </c>
      <c r="B42" s="37"/>
      <c r="D42" s="541" t="str">
        <f>IF(T!A41&lt;&gt;"",HYPERLINK("https://nextoffice.next-hd.co.jp/pleasanter/items/"&amp;T!A41&amp;"/edit","開く"),"")</f>
        <v/>
      </c>
      <c r="E42" s="76">
        <f>T!A41</f>
        <v>0</v>
      </c>
      <c r="F42" s="1" t="str">
        <f>_xlfn.XLOOKUP(_xlfn.XLOOKUP(テーブル20[[#This Row],[ID]],T!$A:$A,T!$AK:$AK,"",0),エリア一覧[ID],エリア一覧[エリア],"",0)</f>
        <v/>
      </c>
      <c r="G42" s="1" t="str">
        <f>_xlfn.XLOOKUP(_xlfn.XLOOKUP(テーブル20[[#This Row],[ID]],T!$A:$A,T!$B:$B,"",0),追変ステータス[ステータスID],追変ステータス[ステータス],"",0)</f>
        <v/>
      </c>
      <c r="H42" t="str">
        <f>_xlfn.XLOOKUP(テーブル20[[#This Row],[ID]],T!$A:$A,T!$N:$N,"",0)</f>
        <v/>
      </c>
      <c r="I42" s="1" t="str">
        <f>_xlfn.XLOOKUP(_xlfn.XLOOKUP(テーブル20[[#This Row],[ID]],T!$A:$A,T!$AT:$AT,"",0),社員リスト[ユーザID],社員リスト[名前],"",0)</f>
        <v/>
      </c>
      <c r="J42" s="538" t="str">
        <f>_xlfn.XLOOKUP(テーブル20[[#This Row],[ID]],T!$A:$A,T!$I:$I,"",0)</f>
        <v/>
      </c>
      <c r="K42" s="540" t="str">
        <f>_xlfn.XLOOKUP(テーブル20[[#This Row],[ID]],T!$A:$A,T!$AI:$AI,"",0)</f>
        <v/>
      </c>
      <c r="L42" s="71" t="str">
        <f>_xlfn.XLOOKUP(テーブル20[[#This Row],[ID]],T!$A:$A,T!$AN:$AN,"",0)</f>
        <v/>
      </c>
      <c r="M42" s="71" t="str">
        <f>_xlfn.XLOOKUP(テーブル20[[#This Row],[ID]],T!$A:$A,T!$AO:$AO,"",0)</f>
        <v/>
      </c>
    </row>
    <row r="43" spans="1:13">
      <c r="A43">
        <v>30</v>
      </c>
      <c r="B43" s="37"/>
      <c r="D43" s="541" t="str">
        <f>IF(T!A42&lt;&gt;"",HYPERLINK("https://nextoffice.next-hd.co.jp/pleasanter/items/"&amp;T!A42&amp;"/edit","開く"),"")</f>
        <v/>
      </c>
      <c r="E43" s="76">
        <f>T!A42</f>
        <v>0</v>
      </c>
      <c r="F43" s="1" t="str">
        <f>_xlfn.XLOOKUP(_xlfn.XLOOKUP(テーブル20[[#This Row],[ID]],T!$A:$A,T!$AK:$AK,"",0),エリア一覧[ID],エリア一覧[エリア],"",0)</f>
        <v/>
      </c>
      <c r="G43" s="1" t="str">
        <f>_xlfn.XLOOKUP(_xlfn.XLOOKUP(テーブル20[[#This Row],[ID]],T!$A:$A,T!$B:$B,"",0),追変ステータス[ステータスID],追変ステータス[ステータス],"",0)</f>
        <v/>
      </c>
      <c r="H43" t="str">
        <f>_xlfn.XLOOKUP(テーブル20[[#This Row],[ID]],T!$A:$A,T!$N:$N,"",0)</f>
        <v/>
      </c>
      <c r="I43" s="1" t="str">
        <f>_xlfn.XLOOKUP(_xlfn.XLOOKUP(テーブル20[[#This Row],[ID]],T!$A:$A,T!$AT:$AT,"",0),社員リスト[ユーザID],社員リスト[名前],"",0)</f>
        <v/>
      </c>
      <c r="J43" s="538" t="str">
        <f>_xlfn.XLOOKUP(テーブル20[[#This Row],[ID]],T!$A:$A,T!$I:$I,"",0)</f>
        <v/>
      </c>
      <c r="K43" s="540" t="str">
        <f>_xlfn.XLOOKUP(テーブル20[[#This Row],[ID]],T!$A:$A,T!$AI:$AI,"",0)</f>
        <v/>
      </c>
      <c r="L43" s="71" t="str">
        <f>_xlfn.XLOOKUP(テーブル20[[#This Row],[ID]],T!$A:$A,T!$AN:$AN,"",0)</f>
        <v/>
      </c>
      <c r="M43" s="71" t="str">
        <f>_xlfn.XLOOKUP(テーブル20[[#This Row],[ID]],T!$A:$A,T!$AO:$AO,"",0)</f>
        <v/>
      </c>
    </row>
    <row r="44" spans="1:13">
      <c r="A44">
        <v>31</v>
      </c>
      <c r="B44" s="63"/>
      <c r="D44" s="541" t="str">
        <f>IF(T!A43&lt;&gt;"",HYPERLINK("https://nextoffice.next-hd.co.jp/pleasanter/items/"&amp;T!A43&amp;"/edit","開く"),"")</f>
        <v/>
      </c>
      <c r="E44" s="76">
        <f>T!A43</f>
        <v>0</v>
      </c>
      <c r="F44" s="1" t="str">
        <f>_xlfn.XLOOKUP(_xlfn.XLOOKUP(テーブル20[[#This Row],[ID]],T!$A:$A,T!$AK:$AK,"",0),エリア一覧[ID],エリア一覧[エリア],"",0)</f>
        <v/>
      </c>
      <c r="G44" s="1" t="str">
        <f>_xlfn.XLOOKUP(_xlfn.XLOOKUP(テーブル20[[#This Row],[ID]],T!$A:$A,T!$B:$B,"",0),追変ステータス[ステータスID],追変ステータス[ステータス],"",0)</f>
        <v/>
      </c>
      <c r="H44" t="str">
        <f>_xlfn.XLOOKUP(テーブル20[[#This Row],[ID]],T!$A:$A,T!$N:$N,"",0)</f>
        <v/>
      </c>
      <c r="I44" s="1" t="str">
        <f>_xlfn.XLOOKUP(_xlfn.XLOOKUP(テーブル20[[#This Row],[ID]],T!$A:$A,T!$AT:$AT,"",0),社員リスト[ユーザID],社員リスト[名前],"",0)</f>
        <v/>
      </c>
      <c r="J44" s="538" t="str">
        <f>_xlfn.XLOOKUP(テーブル20[[#This Row],[ID]],T!$A:$A,T!$I:$I,"",0)</f>
        <v/>
      </c>
      <c r="K44" s="540" t="str">
        <f>_xlfn.XLOOKUP(テーブル20[[#This Row],[ID]],T!$A:$A,T!$AI:$AI,"",0)</f>
        <v/>
      </c>
      <c r="L44" s="71" t="str">
        <f>_xlfn.XLOOKUP(テーブル20[[#This Row],[ID]],T!$A:$A,T!$AN:$AN,"",0)</f>
        <v/>
      </c>
      <c r="M44" s="71" t="str">
        <f>_xlfn.XLOOKUP(テーブル20[[#This Row],[ID]],T!$A:$A,T!$AO:$AO,"",0)</f>
        <v/>
      </c>
    </row>
    <row r="45" spans="1:13">
      <c r="A45">
        <v>32</v>
      </c>
      <c r="B45" s="63"/>
      <c r="D45" s="541" t="str">
        <f>IF(T!A44&lt;&gt;"",HYPERLINK("https://nextoffice.next-hd.co.jp/pleasanter/items/"&amp;T!A44&amp;"/edit","開く"),"")</f>
        <v/>
      </c>
      <c r="E45" s="76">
        <f>T!A44</f>
        <v>0</v>
      </c>
      <c r="F45" s="1" t="str">
        <f>_xlfn.XLOOKUP(_xlfn.XLOOKUP(テーブル20[[#This Row],[ID]],T!$A:$A,T!$AK:$AK,"",0),エリア一覧[ID],エリア一覧[エリア],"",0)</f>
        <v/>
      </c>
      <c r="G45" s="1" t="str">
        <f>_xlfn.XLOOKUP(_xlfn.XLOOKUP(テーブル20[[#This Row],[ID]],T!$A:$A,T!$B:$B,"",0),追変ステータス[ステータスID],追変ステータス[ステータス],"",0)</f>
        <v/>
      </c>
      <c r="H45" t="str">
        <f>_xlfn.XLOOKUP(テーブル20[[#This Row],[ID]],T!$A:$A,T!$N:$N,"",0)</f>
        <v/>
      </c>
      <c r="I45" s="1" t="str">
        <f>_xlfn.XLOOKUP(_xlfn.XLOOKUP(テーブル20[[#This Row],[ID]],T!$A:$A,T!$AT:$AT,"",0),社員リスト[ユーザID],社員リスト[名前],"",0)</f>
        <v/>
      </c>
      <c r="J45" s="538" t="str">
        <f>_xlfn.XLOOKUP(テーブル20[[#This Row],[ID]],T!$A:$A,T!$I:$I,"",0)</f>
        <v/>
      </c>
      <c r="K45" s="540" t="str">
        <f>_xlfn.XLOOKUP(テーブル20[[#This Row],[ID]],T!$A:$A,T!$AI:$AI,"",0)</f>
        <v/>
      </c>
      <c r="L45" s="71" t="str">
        <f>_xlfn.XLOOKUP(テーブル20[[#This Row],[ID]],T!$A:$A,T!$AN:$AN,"",0)</f>
        <v/>
      </c>
      <c r="M45" s="71" t="str">
        <f>_xlfn.XLOOKUP(テーブル20[[#This Row],[ID]],T!$A:$A,T!$AO:$AO,"",0)</f>
        <v/>
      </c>
    </row>
    <row r="46" spans="1:13">
      <c r="A46">
        <v>33</v>
      </c>
      <c r="B46" s="63"/>
      <c r="D46" s="541" t="str">
        <f>IF(T!A45&lt;&gt;"",HYPERLINK("https://nextoffice.next-hd.co.jp/pleasanter/items/"&amp;T!A45&amp;"/edit","開く"),"")</f>
        <v/>
      </c>
      <c r="E46" s="76">
        <f>T!A45</f>
        <v>0</v>
      </c>
      <c r="F46" s="1" t="str">
        <f>_xlfn.XLOOKUP(_xlfn.XLOOKUP(テーブル20[[#This Row],[ID]],T!$A:$A,T!$AK:$AK,"",0),エリア一覧[ID],エリア一覧[エリア],"",0)</f>
        <v/>
      </c>
      <c r="G46" s="1" t="str">
        <f>_xlfn.XLOOKUP(_xlfn.XLOOKUP(テーブル20[[#This Row],[ID]],T!$A:$A,T!$B:$B,"",0),追変ステータス[ステータスID],追変ステータス[ステータス],"",0)</f>
        <v/>
      </c>
      <c r="H46" t="str">
        <f>_xlfn.XLOOKUP(テーブル20[[#This Row],[ID]],T!$A:$A,T!$N:$N,"",0)</f>
        <v/>
      </c>
      <c r="I46" s="1" t="str">
        <f>_xlfn.XLOOKUP(_xlfn.XLOOKUP(テーブル20[[#This Row],[ID]],T!$A:$A,T!$AT:$AT,"",0),社員リスト[ユーザID],社員リスト[名前],"",0)</f>
        <v/>
      </c>
      <c r="J46" s="538" t="str">
        <f>_xlfn.XLOOKUP(テーブル20[[#This Row],[ID]],T!$A:$A,T!$I:$I,"",0)</f>
        <v/>
      </c>
      <c r="K46" s="540" t="str">
        <f>_xlfn.XLOOKUP(テーブル20[[#This Row],[ID]],T!$A:$A,T!$AI:$AI,"",0)</f>
        <v/>
      </c>
      <c r="L46" s="71" t="str">
        <f>_xlfn.XLOOKUP(テーブル20[[#This Row],[ID]],T!$A:$A,T!$AN:$AN,"",0)</f>
        <v/>
      </c>
      <c r="M46" s="71" t="str">
        <f>_xlfn.XLOOKUP(テーブル20[[#This Row],[ID]],T!$A:$A,T!$AO:$AO,"",0)</f>
        <v/>
      </c>
    </row>
    <row r="47" spans="1:13">
      <c r="A47">
        <v>34</v>
      </c>
      <c r="B47" s="63"/>
      <c r="D47" s="541" t="str">
        <f>IF(T!A46&lt;&gt;"",HYPERLINK("https://nextoffice.next-hd.co.jp/pleasanter/items/"&amp;T!A46&amp;"/edit","開く"),"")</f>
        <v/>
      </c>
      <c r="E47" s="76">
        <f>T!A46</f>
        <v>0</v>
      </c>
      <c r="F47" s="1" t="str">
        <f>_xlfn.XLOOKUP(_xlfn.XLOOKUP(テーブル20[[#This Row],[ID]],T!$A:$A,T!$AK:$AK,"",0),エリア一覧[ID],エリア一覧[エリア],"",0)</f>
        <v/>
      </c>
      <c r="G47" s="1" t="str">
        <f>_xlfn.XLOOKUP(_xlfn.XLOOKUP(テーブル20[[#This Row],[ID]],T!$A:$A,T!$B:$B,"",0),追変ステータス[ステータスID],追変ステータス[ステータス],"",0)</f>
        <v/>
      </c>
      <c r="H47" t="str">
        <f>_xlfn.XLOOKUP(テーブル20[[#This Row],[ID]],T!$A:$A,T!$N:$N,"",0)</f>
        <v/>
      </c>
      <c r="I47" s="1" t="str">
        <f>_xlfn.XLOOKUP(_xlfn.XLOOKUP(テーブル20[[#This Row],[ID]],T!$A:$A,T!$AT:$AT,"",0),社員リスト[ユーザID],社員リスト[名前],"",0)</f>
        <v/>
      </c>
      <c r="J47" s="538" t="str">
        <f>_xlfn.XLOOKUP(テーブル20[[#This Row],[ID]],T!$A:$A,T!$I:$I,"",0)</f>
        <v/>
      </c>
      <c r="K47" s="540" t="str">
        <f>_xlfn.XLOOKUP(テーブル20[[#This Row],[ID]],T!$A:$A,T!$AI:$AI,"",0)</f>
        <v/>
      </c>
      <c r="L47" s="71" t="str">
        <f>_xlfn.XLOOKUP(テーブル20[[#This Row],[ID]],T!$A:$A,T!$AN:$AN,"",0)</f>
        <v/>
      </c>
      <c r="M47" s="71" t="str">
        <f>_xlfn.XLOOKUP(テーブル20[[#This Row],[ID]],T!$A:$A,T!$AO:$AO,"",0)</f>
        <v/>
      </c>
    </row>
    <row r="48" spans="1:13">
      <c r="A48">
        <v>35</v>
      </c>
      <c r="B48" s="63"/>
      <c r="D48" s="541" t="str">
        <f>IF(T!A47&lt;&gt;"",HYPERLINK("https://nextoffice.next-hd.co.jp/pleasanter/items/"&amp;T!A47&amp;"/edit","開く"),"")</f>
        <v/>
      </c>
      <c r="E48" s="76">
        <f>T!A47</f>
        <v>0</v>
      </c>
      <c r="F48" s="1" t="str">
        <f>_xlfn.XLOOKUP(_xlfn.XLOOKUP(テーブル20[[#This Row],[ID]],T!$A:$A,T!$AK:$AK,"",0),エリア一覧[ID],エリア一覧[エリア],"",0)</f>
        <v/>
      </c>
      <c r="G48" s="1" t="str">
        <f>_xlfn.XLOOKUP(_xlfn.XLOOKUP(テーブル20[[#This Row],[ID]],T!$A:$A,T!$B:$B,"",0),追変ステータス[ステータスID],追変ステータス[ステータス],"",0)</f>
        <v/>
      </c>
      <c r="H48" t="str">
        <f>_xlfn.XLOOKUP(テーブル20[[#This Row],[ID]],T!$A:$A,T!$N:$N,"",0)</f>
        <v/>
      </c>
      <c r="I48" s="1" t="str">
        <f>_xlfn.XLOOKUP(_xlfn.XLOOKUP(テーブル20[[#This Row],[ID]],T!$A:$A,T!$AT:$AT,"",0),社員リスト[ユーザID],社員リスト[名前],"",0)</f>
        <v/>
      </c>
      <c r="J48" s="538" t="str">
        <f>_xlfn.XLOOKUP(テーブル20[[#This Row],[ID]],T!$A:$A,T!$I:$I,"",0)</f>
        <v/>
      </c>
      <c r="K48" s="540" t="str">
        <f>_xlfn.XLOOKUP(テーブル20[[#This Row],[ID]],T!$A:$A,T!$AI:$AI,"",0)</f>
        <v/>
      </c>
      <c r="L48" s="71" t="str">
        <f>_xlfn.XLOOKUP(テーブル20[[#This Row],[ID]],T!$A:$A,T!$AN:$AN,"",0)</f>
        <v/>
      </c>
      <c r="M48" s="71" t="str">
        <f>_xlfn.XLOOKUP(テーブル20[[#This Row],[ID]],T!$A:$A,T!$AO:$AO,"",0)</f>
        <v/>
      </c>
    </row>
    <row r="49" spans="1:13">
      <c r="A49">
        <v>36</v>
      </c>
      <c r="B49" s="63"/>
      <c r="D49" s="541" t="str">
        <f>IF(T!A48&lt;&gt;"",HYPERLINK("https://nextoffice.next-hd.co.jp/pleasanter/items/"&amp;T!A48&amp;"/edit","開く"),"")</f>
        <v/>
      </c>
      <c r="E49" s="76">
        <f>T!A48</f>
        <v>0</v>
      </c>
      <c r="F49" s="1" t="str">
        <f>_xlfn.XLOOKUP(_xlfn.XLOOKUP(テーブル20[[#This Row],[ID]],T!$A:$A,T!$AK:$AK,"",0),エリア一覧[ID],エリア一覧[エリア],"",0)</f>
        <v/>
      </c>
      <c r="G49" s="1" t="str">
        <f>_xlfn.XLOOKUP(_xlfn.XLOOKUP(テーブル20[[#This Row],[ID]],T!$A:$A,T!$B:$B,"",0),追変ステータス[ステータスID],追変ステータス[ステータス],"",0)</f>
        <v/>
      </c>
      <c r="H49" t="str">
        <f>_xlfn.XLOOKUP(テーブル20[[#This Row],[ID]],T!$A:$A,T!$N:$N,"",0)</f>
        <v/>
      </c>
      <c r="I49" s="1" t="str">
        <f>_xlfn.XLOOKUP(_xlfn.XLOOKUP(テーブル20[[#This Row],[ID]],T!$A:$A,T!$AT:$AT,"",0),社員リスト[ユーザID],社員リスト[名前],"",0)</f>
        <v/>
      </c>
      <c r="J49" s="538" t="str">
        <f>_xlfn.XLOOKUP(テーブル20[[#This Row],[ID]],T!$A:$A,T!$I:$I,"",0)</f>
        <v/>
      </c>
      <c r="K49" s="540" t="str">
        <f>_xlfn.XLOOKUP(テーブル20[[#This Row],[ID]],T!$A:$A,T!$AI:$AI,"",0)</f>
        <v/>
      </c>
      <c r="L49" s="71" t="str">
        <f>_xlfn.XLOOKUP(テーブル20[[#This Row],[ID]],T!$A:$A,T!$AN:$AN,"",0)</f>
        <v/>
      </c>
      <c r="M49" s="71" t="str">
        <f>_xlfn.XLOOKUP(テーブル20[[#This Row],[ID]],T!$A:$A,T!$AO:$AO,"",0)</f>
        <v/>
      </c>
    </row>
    <row r="50" spans="1:13">
      <c r="A50">
        <v>37</v>
      </c>
      <c r="B50" s="63"/>
      <c r="D50" s="541" t="str">
        <f>IF(T!A49&lt;&gt;"",HYPERLINK("https://nextoffice.next-hd.co.jp/pleasanter/items/"&amp;T!A49&amp;"/edit","開く"),"")</f>
        <v/>
      </c>
      <c r="E50" s="76">
        <f>T!A49</f>
        <v>0</v>
      </c>
      <c r="F50" s="1" t="str">
        <f>_xlfn.XLOOKUP(_xlfn.XLOOKUP(テーブル20[[#This Row],[ID]],T!$A:$A,T!$AK:$AK,"",0),エリア一覧[ID],エリア一覧[エリア],"",0)</f>
        <v/>
      </c>
      <c r="G50" s="1" t="str">
        <f>_xlfn.XLOOKUP(_xlfn.XLOOKUP(テーブル20[[#This Row],[ID]],T!$A:$A,T!$B:$B,"",0),追変ステータス[ステータスID],追変ステータス[ステータス],"",0)</f>
        <v/>
      </c>
      <c r="H50" t="str">
        <f>_xlfn.XLOOKUP(テーブル20[[#This Row],[ID]],T!$A:$A,T!$N:$N,"",0)</f>
        <v/>
      </c>
      <c r="I50" s="1" t="str">
        <f>_xlfn.XLOOKUP(_xlfn.XLOOKUP(テーブル20[[#This Row],[ID]],T!$A:$A,T!$AT:$AT,"",0),社員リスト[ユーザID],社員リスト[名前],"",0)</f>
        <v/>
      </c>
      <c r="J50" s="538" t="str">
        <f>_xlfn.XLOOKUP(テーブル20[[#This Row],[ID]],T!$A:$A,T!$I:$I,"",0)</f>
        <v/>
      </c>
      <c r="K50" s="540" t="str">
        <f>_xlfn.XLOOKUP(テーブル20[[#This Row],[ID]],T!$A:$A,T!$AI:$AI,"",0)</f>
        <v/>
      </c>
      <c r="L50" s="71" t="str">
        <f>_xlfn.XLOOKUP(テーブル20[[#This Row],[ID]],T!$A:$A,T!$AN:$AN,"",0)</f>
        <v/>
      </c>
      <c r="M50" s="71" t="str">
        <f>_xlfn.XLOOKUP(テーブル20[[#This Row],[ID]],T!$A:$A,T!$AO:$AO,"",0)</f>
        <v/>
      </c>
    </row>
    <row r="51" spans="1:13">
      <c r="A51">
        <v>38</v>
      </c>
      <c r="B51" s="63"/>
      <c r="D51" s="541" t="str">
        <f>IF(T!A50&lt;&gt;"",HYPERLINK("https://nextoffice.next-hd.co.jp/pleasanter/items/"&amp;T!A50&amp;"/edit","開く"),"")</f>
        <v/>
      </c>
      <c r="E51" s="76">
        <f>T!A50</f>
        <v>0</v>
      </c>
      <c r="F51" s="1" t="str">
        <f>_xlfn.XLOOKUP(_xlfn.XLOOKUP(テーブル20[[#This Row],[ID]],T!$A:$A,T!$AK:$AK,"",0),エリア一覧[ID],エリア一覧[エリア],"",0)</f>
        <v/>
      </c>
      <c r="G51" s="1" t="str">
        <f>_xlfn.XLOOKUP(_xlfn.XLOOKUP(テーブル20[[#This Row],[ID]],T!$A:$A,T!$B:$B,"",0),追変ステータス[ステータスID],追変ステータス[ステータス],"",0)</f>
        <v/>
      </c>
      <c r="H51" t="str">
        <f>_xlfn.XLOOKUP(テーブル20[[#This Row],[ID]],T!$A:$A,T!$N:$N,"",0)</f>
        <v/>
      </c>
      <c r="I51" s="1" t="str">
        <f>_xlfn.XLOOKUP(_xlfn.XLOOKUP(テーブル20[[#This Row],[ID]],T!$A:$A,T!$AT:$AT,"",0),社員リスト[ユーザID],社員リスト[名前],"",0)</f>
        <v/>
      </c>
      <c r="J51" s="538" t="str">
        <f>_xlfn.XLOOKUP(テーブル20[[#This Row],[ID]],T!$A:$A,T!$I:$I,"",0)</f>
        <v/>
      </c>
      <c r="K51" s="540" t="str">
        <f>_xlfn.XLOOKUP(テーブル20[[#This Row],[ID]],T!$A:$A,T!$AI:$AI,"",0)</f>
        <v/>
      </c>
      <c r="L51" s="71" t="str">
        <f>_xlfn.XLOOKUP(テーブル20[[#This Row],[ID]],T!$A:$A,T!$AN:$AN,"",0)</f>
        <v/>
      </c>
      <c r="M51" s="71" t="str">
        <f>_xlfn.XLOOKUP(テーブル20[[#This Row],[ID]],T!$A:$A,T!$AO:$AO,"",0)</f>
        <v/>
      </c>
    </row>
    <row r="52" spans="1:13">
      <c r="A52">
        <v>39</v>
      </c>
      <c r="B52" s="63"/>
      <c r="D52" s="541" t="str">
        <f>IF(T!A51&lt;&gt;"",HYPERLINK("https://nextoffice.next-hd.co.jp/pleasanter/items/"&amp;T!A51&amp;"/edit","開く"),"")</f>
        <v/>
      </c>
      <c r="E52" s="76">
        <f>T!A51</f>
        <v>0</v>
      </c>
      <c r="F52" s="1" t="str">
        <f>_xlfn.XLOOKUP(_xlfn.XLOOKUP(テーブル20[[#This Row],[ID]],T!$A:$A,T!$AK:$AK,"",0),エリア一覧[ID],エリア一覧[エリア],"",0)</f>
        <v/>
      </c>
      <c r="G52" s="1" t="str">
        <f>_xlfn.XLOOKUP(_xlfn.XLOOKUP(テーブル20[[#This Row],[ID]],T!$A:$A,T!$B:$B,"",0),追変ステータス[ステータスID],追変ステータス[ステータス],"",0)</f>
        <v/>
      </c>
      <c r="H52" t="str">
        <f>_xlfn.XLOOKUP(テーブル20[[#This Row],[ID]],T!$A:$A,T!$N:$N,"",0)</f>
        <v/>
      </c>
      <c r="I52" s="1" t="str">
        <f>_xlfn.XLOOKUP(_xlfn.XLOOKUP(テーブル20[[#This Row],[ID]],T!$A:$A,T!$AT:$AT,"",0),社員リスト[ユーザID],社員リスト[名前],"",0)</f>
        <v/>
      </c>
      <c r="J52" s="538" t="str">
        <f>_xlfn.XLOOKUP(テーブル20[[#This Row],[ID]],T!$A:$A,T!$I:$I,"",0)</f>
        <v/>
      </c>
      <c r="K52" s="540" t="str">
        <f>_xlfn.XLOOKUP(テーブル20[[#This Row],[ID]],T!$A:$A,T!$AI:$AI,"",0)</f>
        <v/>
      </c>
      <c r="L52" s="71" t="str">
        <f>_xlfn.XLOOKUP(テーブル20[[#This Row],[ID]],T!$A:$A,T!$AN:$AN,"",0)</f>
        <v/>
      </c>
      <c r="M52" s="71" t="str">
        <f>_xlfn.XLOOKUP(テーブル20[[#This Row],[ID]],T!$A:$A,T!$AO:$AO,"",0)</f>
        <v/>
      </c>
    </row>
    <row r="53" spans="1:13">
      <c r="A53">
        <v>40</v>
      </c>
      <c r="B53" s="63"/>
      <c r="D53" s="541" t="str">
        <f>IF(T!A52&lt;&gt;"",HYPERLINK("https://nextoffice.next-hd.co.jp/pleasanter/items/"&amp;T!A52&amp;"/edit","開く"),"")</f>
        <v/>
      </c>
      <c r="E53" s="76">
        <f>T!A52</f>
        <v>0</v>
      </c>
      <c r="F53" s="1" t="str">
        <f>_xlfn.XLOOKUP(_xlfn.XLOOKUP(テーブル20[[#This Row],[ID]],T!$A:$A,T!$AK:$AK,"",0),エリア一覧[ID],エリア一覧[エリア],"",0)</f>
        <v/>
      </c>
      <c r="G53" s="1" t="str">
        <f>_xlfn.XLOOKUP(_xlfn.XLOOKUP(テーブル20[[#This Row],[ID]],T!$A:$A,T!$B:$B,"",0),追変ステータス[ステータスID],追変ステータス[ステータス],"",0)</f>
        <v/>
      </c>
      <c r="H53" t="str">
        <f>_xlfn.XLOOKUP(テーブル20[[#This Row],[ID]],T!$A:$A,T!$N:$N,"",0)</f>
        <v/>
      </c>
      <c r="I53" s="1" t="str">
        <f>_xlfn.XLOOKUP(_xlfn.XLOOKUP(テーブル20[[#This Row],[ID]],T!$A:$A,T!$AT:$AT,"",0),社員リスト[ユーザID],社員リスト[名前],"",0)</f>
        <v/>
      </c>
      <c r="J53" s="538" t="str">
        <f>_xlfn.XLOOKUP(テーブル20[[#This Row],[ID]],T!$A:$A,T!$I:$I,"",0)</f>
        <v/>
      </c>
      <c r="K53" s="540" t="str">
        <f>_xlfn.XLOOKUP(テーブル20[[#This Row],[ID]],T!$A:$A,T!$AI:$AI,"",0)</f>
        <v/>
      </c>
      <c r="L53" s="71" t="str">
        <f>_xlfn.XLOOKUP(テーブル20[[#This Row],[ID]],T!$A:$A,T!$AN:$AN,"",0)</f>
        <v/>
      </c>
      <c r="M53" s="71" t="str">
        <f>_xlfn.XLOOKUP(テーブル20[[#This Row],[ID]],T!$A:$A,T!$AO:$AO,"",0)</f>
        <v/>
      </c>
    </row>
    <row r="54" spans="1:13">
      <c r="A54">
        <v>41</v>
      </c>
      <c r="B54" s="63"/>
      <c r="D54" s="541" t="str">
        <f>IF(T!A53&lt;&gt;"",HYPERLINK("https://nextoffice.next-hd.co.jp/pleasanter/items/"&amp;T!A53&amp;"/edit","開く"),"")</f>
        <v/>
      </c>
      <c r="E54" s="76">
        <f>T!A53</f>
        <v>0</v>
      </c>
      <c r="F54" s="1" t="str">
        <f>_xlfn.XLOOKUP(_xlfn.XLOOKUP(テーブル20[[#This Row],[ID]],T!$A:$A,T!$AK:$AK,"",0),エリア一覧[ID],エリア一覧[エリア],"",0)</f>
        <v/>
      </c>
      <c r="G54" s="1" t="str">
        <f>_xlfn.XLOOKUP(_xlfn.XLOOKUP(テーブル20[[#This Row],[ID]],T!$A:$A,T!$B:$B,"",0),追変ステータス[ステータスID],追変ステータス[ステータス],"",0)</f>
        <v/>
      </c>
      <c r="H54" t="str">
        <f>_xlfn.XLOOKUP(テーブル20[[#This Row],[ID]],T!$A:$A,T!$N:$N,"",0)</f>
        <v/>
      </c>
      <c r="I54" s="1" t="str">
        <f>_xlfn.XLOOKUP(_xlfn.XLOOKUP(テーブル20[[#This Row],[ID]],T!$A:$A,T!$AT:$AT,"",0),社員リスト[ユーザID],社員リスト[名前],"",0)</f>
        <v/>
      </c>
      <c r="J54" s="538" t="str">
        <f>_xlfn.XLOOKUP(テーブル20[[#This Row],[ID]],T!$A:$A,T!$I:$I,"",0)</f>
        <v/>
      </c>
      <c r="K54" s="540" t="str">
        <f>_xlfn.XLOOKUP(テーブル20[[#This Row],[ID]],T!$A:$A,T!$AI:$AI,"",0)</f>
        <v/>
      </c>
      <c r="L54" s="71" t="str">
        <f>_xlfn.XLOOKUP(テーブル20[[#This Row],[ID]],T!$A:$A,T!$AN:$AN,"",0)</f>
        <v/>
      </c>
      <c r="M54" s="71" t="str">
        <f>_xlfn.XLOOKUP(テーブル20[[#This Row],[ID]],T!$A:$A,T!$AO:$AO,"",0)</f>
        <v/>
      </c>
    </row>
    <row r="55" spans="1:13">
      <c r="A55">
        <v>42</v>
      </c>
      <c r="B55" s="63"/>
      <c r="D55" s="541" t="str">
        <f>IF(T!A54&lt;&gt;"",HYPERLINK("https://nextoffice.next-hd.co.jp/pleasanter/items/"&amp;T!A54&amp;"/edit","開く"),"")</f>
        <v/>
      </c>
      <c r="E55" s="76">
        <f>T!A54</f>
        <v>0</v>
      </c>
      <c r="F55" s="1" t="str">
        <f>_xlfn.XLOOKUP(_xlfn.XLOOKUP(テーブル20[[#This Row],[ID]],T!$A:$A,T!$AK:$AK,"",0),エリア一覧[ID],エリア一覧[エリア],"",0)</f>
        <v/>
      </c>
      <c r="G55" s="1" t="str">
        <f>_xlfn.XLOOKUP(_xlfn.XLOOKUP(テーブル20[[#This Row],[ID]],T!$A:$A,T!$B:$B,"",0),追変ステータス[ステータスID],追変ステータス[ステータス],"",0)</f>
        <v/>
      </c>
      <c r="H55" t="str">
        <f>_xlfn.XLOOKUP(テーブル20[[#This Row],[ID]],T!$A:$A,T!$N:$N,"",0)</f>
        <v/>
      </c>
      <c r="I55" s="1" t="str">
        <f>_xlfn.XLOOKUP(_xlfn.XLOOKUP(テーブル20[[#This Row],[ID]],T!$A:$A,T!$AT:$AT,"",0),社員リスト[ユーザID],社員リスト[名前],"",0)</f>
        <v/>
      </c>
      <c r="J55" s="538" t="str">
        <f>_xlfn.XLOOKUP(テーブル20[[#This Row],[ID]],T!$A:$A,T!$I:$I,"",0)</f>
        <v/>
      </c>
      <c r="K55" s="540" t="str">
        <f>_xlfn.XLOOKUP(テーブル20[[#This Row],[ID]],T!$A:$A,T!$AI:$AI,"",0)</f>
        <v/>
      </c>
      <c r="L55" s="71" t="str">
        <f>_xlfn.XLOOKUP(テーブル20[[#This Row],[ID]],T!$A:$A,T!$AN:$AN,"",0)</f>
        <v/>
      </c>
      <c r="M55" s="71" t="str">
        <f>_xlfn.XLOOKUP(テーブル20[[#This Row],[ID]],T!$A:$A,T!$AO:$AO,"",0)</f>
        <v/>
      </c>
    </row>
    <row r="56" spans="1:13">
      <c r="A56">
        <v>43</v>
      </c>
      <c r="B56" s="63"/>
      <c r="D56" s="541" t="str">
        <f>IF(T!A55&lt;&gt;"",HYPERLINK("https://nextoffice.next-hd.co.jp/pleasanter/items/"&amp;T!A55&amp;"/edit","開く"),"")</f>
        <v/>
      </c>
      <c r="E56" s="76">
        <f>T!A55</f>
        <v>0</v>
      </c>
      <c r="F56" s="1" t="str">
        <f>_xlfn.XLOOKUP(_xlfn.XLOOKUP(テーブル20[[#This Row],[ID]],T!$A:$A,T!$AK:$AK,"",0),エリア一覧[ID],エリア一覧[エリア],"",0)</f>
        <v/>
      </c>
      <c r="G56" s="1" t="str">
        <f>_xlfn.XLOOKUP(_xlfn.XLOOKUP(テーブル20[[#This Row],[ID]],T!$A:$A,T!$B:$B,"",0),追変ステータス[ステータスID],追変ステータス[ステータス],"",0)</f>
        <v/>
      </c>
      <c r="H56" t="str">
        <f>_xlfn.XLOOKUP(テーブル20[[#This Row],[ID]],T!$A:$A,T!$N:$N,"",0)</f>
        <v/>
      </c>
      <c r="I56" s="1" t="str">
        <f>_xlfn.XLOOKUP(_xlfn.XLOOKUP(テーブル20[[#This Row],[ID]],T!$A:$A,T!$AT:$AT,"",0),社員リスト[ユーザID],社員リスト[名前],"",0)</f>
        <v/>
      </c>
      <c r="J56" s="538" t="str">
        <f>_xlfn.XLOOKUP(テーブル20[[#This Row],[ID]],T!$A:$A,T!$I:$I,"",0)</f>
        <v/>
      </c>
      <c r="K56" s="540" t="str">
        <f>_xlfn.XLOOKUP(テーブル20[[#This Row],[ID]],T!$A:$A,T!$AI:$AI,"",0)</f>
        <v/>
      </c>
      <c r="L56" s="71" t="str">
        <f>_xlfn.XLOOKUP(テーブル20[[#This Row],[ID]],T!$A:$A,T!$AN:$AN,"",0)</f>
        <v/>
      </c>
      <c r="M56" s="71" t="str">
        <f>_xlfn.XLOOKUP(テーブル20[[#This Row],[ID]],T!$A:$A,T!$AO:$AO,"",0)</f>
        <v/>
      </c>
    </row>
    <row r="57" spans="1:13">
      <c r="A57">
        <v>44</v>
      </c>
      <c r="B57" s="63"/>
      <c r="D57" s="541" t="str">
        <f>IF(T!A56&lt;&gt;"",HYPERLINK("https://nextoffice.next-hd.co.jp/pleasanter/items/"&amp;T!A56&amp;"/edit","開く"),"")</f>
        <v/>
      </c>
      <c r="E57" s="76">
        <f>T!A56</f>
        <v>0</v>
      </c>
      <c r="F57" s="1" t="str">
        <f>_xlfn.XLOOKUP(_xlfn.XLOOKUP(テーブル20[[#This Row],[ID]],T!$A:$A,T!$AK:$AK,"",0),エリア一覧[ID],エリア一覧[エリア],"",0)</f>
        <v/>
      </c>
      <c r="G57" s="1" t="str">
        <f>_xlfn.XLOOKUP(_xlfn.XLOOKUP(テーブル20[[#This Row],[ID]],T!$A:$A,T!$B:$B,"",0),追変ステータス[ステータスID],追変ステータス[ステータス],"",0)</f>
        <v/>
      </c>
      <c r="H57" t="str">
        <f>_xlfn.XLOOKUP(テーブル20[[#This Row],[ID]],T!$A:$A,T!$N:$N,"",0)</f>
        <v/>
      </c>
      <c r="I57" s="1" t="str">
        <f>_xlfn.XLOOKUP(_xlfn.XLOOKUP(テーブル20[[#This Row],[ID]],T!$A:$A,T!$AT:$AT,"",0),社員リスト[ユーザID],社員リスト[名前],"",0)</f>
        <v/>
      </c>
      <c r="J57" s="538" t="str">
        <f>_xlfn.XLOOKUP(テーブル20[[#This Row],[ID]],T!$A:$A,T!$I:$I,"",0)</f>
        <v/>
      </c>
      <c r="K57" s="540" t="str">
        <f>_xlfn.XLOOKUP(テーブル20[[#This Row],[ID]],T!$A:$A,T!$AI:$AI,"",0)</f>
        <v/>
      </c>
      <c r="L57" s="71" t="str">
        <f>_xlfn.XLOOKUP(テーブル20[[#This Row],[ID]],T!$A:$A,T!$AN:$AN,"",0)</f>
        <v/>
      </c>
      <c r="M57" s="71" t="str">
        <f>_xlfn.XLOOKUP(テーブル20[[#This Row],[ID]],T!$A:$A,T!$AO:$AO,"",0)</f>
        <v/>
      </c>
    </row>
    <row r="58" spans="1:13">
      <c r="A58">
        <v>45</v>
      </c>
      <c r="B58" s="63"/>
      <c r="D58" s="541" t="str">
        <f>IF(T!A57&lt;&gt;"",HYPERLINK("https://nextoffice.next-hd.co.jp/pleasanter/items/"&amp;T!A57&amp;"/edit","開く"),"")</f>
        <v/>
      </c>
      <c r="E58" s="76">
        <f>T!A57</f>
        <v>0</v>
      </c>
      <c r="F58" s="1" t="str">
        <f>_xlfn.XLOOKUP(_xlfn.XLOOKUP(テーブル20[[#This Row],[ID]],T!$A:$A,T!$AK:$AK,"",0),エリア一覧[ID],エリア一覧[エリア],"",0)</f>
        <v/>
      </c>
      <c r="G58" s="1" t="str">
        <f>_xlfn.XLOOKUP(_xlfn.XLOOKUP(テーブル20[[#This Row],[ID]],T!$A:$A,T!$B:$B,"",0),追変ステータス[ステータスID],追変ステータス[ステータス],"",0)</f>
        <v/>
      </c>
      <c r="H58" t="str">
        <f>_xlfn.XLOOKUP(テーブル20[[#This Row],[ID]],T!$A:$A,T!$N:$N,"",0)</f>
        <v/>
      </c>
      <c r="I58" s="1" t="str">
        <f>_xlfn.XLOOKUP(_xlfn.XLOOKUP(テーブル20[[#This Row],[ID]],T!$A:$A,T!$AT:$AT,"",0),社員リスト[ユーザID],社員リスト[名前],"",0)</f>
        <v/>
      </c>
      <c r="J58" s="538" t="str">
        <f>_xlfn.XLOOKUP(テーブル20[[#This Row],[ID]],T!$A:$A,T!$I:$I,"",0)</f>
        <v/>
      </c>
      <c r="K58" s="540" t="str">
        <f>_xlfn.XLOOKUP(テーブル20[[#This Row],[ID]],T!$A:$A,T!$AI:$AI,"",0)</f>
        <v/>
      </c>
      <c r="L58" s="71" t="str">
        <f>_xlfn.XLOOKUP(テーブル20[[#This Row],[ID]],T!$A:$A,T!$AN:$AN,"",0)</f>
        <v/>
      </c>
      <c r="M58" s="71" t="str">
        <f>_xlfn.XLOOKUP(テーブル20[[#This Row],[ID]],T!$A:$A,T!$AO:$AO,"",0)</f>
        <v/>
      </c>
    </row>
    <row r="59" spans="1:13">
      <c r="A59">
        <v>46</v>
      </c>
      <c r="B59" s="63"/>
      <c r="D59" s="541" t="str">
        <f>IF(T!A58&lt;&gt;"",HYPERLINK("https://nextoffice.next-hd.co.jp/pleasanter/items/"&amp;T!A58&amp;"/edit","開く"),"")</f>
        <v/>
      </c>
      <c r="E59" s="76">
        <f>T!A58</f>
        <v>0</v>
      </c>
      <c r="F59" s="1" t="str">
        <f>_xlfn.XLOOKUP(_xlfn.XLOOKUP(テーブル20[[#This Row],[ID]],T!$A:$A,T!$AK:$AK,"",0),エリア一覧[ID],エリア一覧[エリア],"",0)</f>
        <v/>
      </c>
      <c r="G59" s="1" t="str">
        <f>_xlfn.XLOOKUP(_xlfn.XLOOKUP(テーブル20[[#This Row],[ID]],T!$A:$A,T!$B:$B,"",0),追変ステータス[ステータスID],追変ステータス[ステータス],"",0)</f>
        <v/>
      </c>
      <c r="H59" t="str">
        <f>_xlfn.XLOOKUP(テーブル20[[#This Row],[ID]],T!$A:$A,T!$N:$N,"",0)</f>
        <v/>
      </c>
      <c r="I59" s="1" t="str">
        <f>_xlfn.XLOOKUP(_xlfn.XLOOKUP(テーブル20[[#This Row],[ID]],T!$A:$A,T!$AT:$AT,"",0),社員リスト[ユーザID],社員リスト[名前],"",0)</f>
        <v/>
      </c>
      <c r="J59" s="538" t="str">
        <f>_xlfn.XLOOKUP(テーブル20[[#This Row],[ID]],T!$A:$A,T!$I:$I,"",0)</f>
        <v/>
      </c>
      <c r="K59" s="540" t="str">
        <f>_xlfn.XLOOKUP(テーブル20[[#This Row],[ID]],T!$A:$A,T!$AI:$AI,"",0)</f>
        <v/>
      </c>
      <c r="L59" s="71" t="str">
        <f>_xlfn.XLOOKUP(テーブル20[[#This Row],[ID]],T!$A:$A,T!$AN:$AN,"",0)</f>
        <v/>
      </c>
      <c r="M59" s="71" t="str">
        <f>_xlfn.XLOOKUP(テーブル20[[#This Row],[ID]],T!$A:$A,T!$AO:$AO,"",0)</f>
        <v/>
      </c>
    </row>
    <row r="60" spans="1:13">
      <c r="A60">
        <v>47</v>
      </c>
      <c r="B60" s="63"/>
      <c r="D60" s="541" t="str">
        <f>IF(T!A59&lt;&gt;"",HYPERLINK("https://nextoffice.next-hd.co.jp/pleasanter/items/"&amp;T!A59&amp;"/edit","開く"),"")</f>
        <v/>
      </c>
      <c r="E60" s="76">
        <f>T!A59</f>
        <v>0</v>
      </c>
      <c r="F60" s="1" t="str">
        <f>_xlfn.XLOOKUP(_xlfn.XLOOKUP(テーブル20[[#This Row],[ID]],T!$A:$A,T!$AK:$AK,"",0),エリア一覧[ID],エリア一覧[エリア],"",0)</f>
        <v/>
      </c>
      <c r="G60" s="1" t="str">
        <f>_xlfn.XLOOKUP(_xlfn.XLOOKUP(テーブル20[[#This Row],[ID]],T!$A:$A,T!$B:$B,"",0),追変ステータス[ステータスID],追変ステータス[ステータス],"",0)</f>
        <v/>
      </c>
      <c r="H60" t="str">
        <f>_xlfn.XLOOKUP(テーブル20[[#This Row],[ID]],T!$A:$A,T!$N:$N,"",0)</f>
        <v/>
      </c>
      <c r="I60" s="1" t="str">
        <f>_xlfn.XLOOKUP(_xlfn.XLOOKUP(テーブル20[[#This Row],[ID]],T!$A:$A,T!$AT:$AT,"",0),社員リスト[ユーザID],社員リスト[名前],"",0)</f>
        <v/>
      </c>
      <c r="J60" s="538" t="str">
        <f>_xlfn.XLOOKUP(テーブル20[[#This Row],[ID]],T!$A:$A,T!$I:$I,"",0)</f>
        <v/>
      </c>
      <c r="K60" s="540" t="str">
        <f>_xlfn.XLOOKUP(テーブル20[[#This Row],[ID]],T!$A:$A,T!$AI:$AI,"",0)</f>
        <v/>
      </c>
      <c r="L60" s="71" t="str">
        <f>_xlfn.XLOOKUP(テーブル20[[#This Row],[ID]],T!$A:$A,T!$AN:$AN,"",0)</f>
        <v/>
      </c>
      <c r="M60" s="71" t="str">
        <f>_xlfn.XLOOKUP(テーブル20[[#This Row],[ID]],T!$A:$A,T!$AO:$AO,"",0)</f>
        <v/>
      </c>
    </row>
    <row r="61" spans="1:13">
      <c r="A61">
        <v>48</v>
      </c>
      <c r="B61" s="63"/>
      <c r="D61" s="541" t="str">
        <f>IF(T!A60&lt;&gt;"",HYPERLINK("https://nextoffice.next-hd.co.jp/pleasanter/items/"&amp;T!A60&amp;"/edit","開く"),"")</f>
        <v/>
      </c>
      <c r="E61" s="76">
        <f>T!A60</f>
        <v>0</v>
      </c>
      <c r="F61" s="1" t="str">
        <f>_xlfn.XLOOKUP(_xlfn.XLOOKUP(テーブル20[[#This Row],[ID]],T!$A:$A,T!$AK:$AK,"",0),エリア一覧[ID],エリア一覧[エリア],"",0)</f>
        <v/>
      </c>
      <c r="G61" s="1" t="str">
        <f>_xlfn.XLOOKUP(_xlfn.XLOOKUP(テーブル20[[#This Row],[ID]],T!$A:$A,T!$B:$B,"",0),追変ステータス[ステータスID],追変ステータス[ステータス],"",0)</f>
        <v/>
      </c>
      <c r="H61" t="str">
        <f>_xlfn.XLOOKUP(テーブル20[[#This Row],[ID]],T!$A:$A,T!$N:$N,"",0)</f>
        <v/>
      </c>
      <c r="I61" s="1" t="str">
        <f>_xlfn.XLOOKUP(_xlfn.XLOOKUP(テーブル20[[#This Row],[ID]],T!$A:$A,T!$AT:$AT,"",0),社員リスト[ユーザID],社員リスト[名前],"",0)</f>
        <v/>
      </c>
      <c r="J61" s="538" t="str">
        <f>_xlfn.XLOOKUP(テーブル20[[#This Row],[ID]],T!$A:$A,T!$I:$I,"",0)</f>
        <v/>
      </c>
      <c r="K61" s="540" t="str">
        <f>_xlfn.XLOOKUP(テーブル20[[#This Row],[ID]],T!$A:$A,T!$AI:$AI,"",0)</f>
        <v/>
      </c>
      <c r="L61" s="71" t="str">
        <f>_xlfn.XLOOKUP(テーブル20[[#This Row],[ID]],T!$A:$A,T!$AN:$AN,"",0)</f>
        <v/>
      </c>
      <c r="M61" s="71" t="str">
        <f>_xlfn.XLOOKUP(テーブル20[[#This Row],[ID]],T!$A:$A,T!$AO:$AO,"",0)</f>
        <v/>
      </c>
    </row>
    <row r="62" spans="1:13">
      <c r="A62">
        <v>49</v>
      </c>
      <c r="B62" s="63"/>
      <c r="D62" s="541" t="str">
        <f>IF(T!A61&lt;&gt;"",HYPERLINK("https://nextoffice.next-hd.co.jp/pleasanter/items/"&amp;T!A61&amp;"/edit","開く"),"")</f>
        <v/>
      </c>
      <c r="E62" s="76">
        <f>T!A61</f>
        <v>0</v>
      </c>
      <c r="F62" s="1" t="str">
        <f>_xlfn.XLOOKUP(_xlfn.XLOOKUP(テーブル20[[#This Row],[ID]],T!$A:$A,T!$AK:$AK,"",0),エリア一覧[ID],エリア一覧[エリア],"",0)</f>
        <v/>
      </c>
      <c r="G62" s="1" t="str">
        <f>_xlfn.XLOOKUP(_xlfn.XLOOKUP(テーブル20[[#This Row],[ID]],T!$A:$A,T!$B:$B,"",0),追変ステータス[ステータスID],追変ステータス[ステータス],"",0)</f>
        <v/>
      </c>
      <c r="H62" t="str">
        <f>_xlfn.XLOOKUP(テーブル20[[#This Row],[ID]],T!$A:$A,T!$N:$N,"",0)</f>
        <v/>
      </c>
      <c r="I62" s="1" t="str">
        <f>_xlfn.XLOOKUP(_xlfn.XLOOKUP(テーブル20[[#This Row],[ID]],T!$A:$A,T!$AT:$AT,"",0),社員リスト[ユーザID],社員リスト[名前],"",0)</f>
        <v/>
      </c>
      <c r="J62" s="538" t="str">
        <f>_xlfn.XLOOKUP(テーブル20[[#This Row],[ID]],T!$A:$A,T!$I:$I,"",0)</f>
        <v/>
      </c>
      <c r="K62" s="540" t="str">
        <f>_xlfn.XLOOKUP(テーブル20[[#This Row],[ID]],T!$A:$A,T!$AI:$AI,"",0)</f>
        <v/>
      </c>
      <c r="L62" s="71" t="str">
        <f>_xlfn.XLOOKUP(テーブル20[[#This Row],[ID]],T!$A:$A,T!$AN:$AN,"",0)</f>
        <v/>
      </c>
      <c r="M62" s="71" t="str">
        <f>_xlfn.XLOOKUP(テーブル20[[#This Row],[ID]],T!$A:$A,T!$AO:$AO,"",0)</f>
        <v/>
      </c>
    </row>
    <row r="63" spans="1:13">
      <c r="A63">
        <v>50</v>
      </c>
      <c r="B63" s="63"/>
      <c r="D63" s="541" t="str">
        <f>IF(T!A62&lt;&gt;"",HYPERLINK("https://nextoffice.next-hd.co.jp/pleasanter/items/"&amp;T!A62&amp;"/edit","開く"),"")</f>
        <v/>
      </c>
      <c r="E63" s="76">
        <f>T!A62</f>
        <v>0</v>
      </c>
      <c r="F63" s="1" t="str">
        <f>_xlfn.XLOOKUP(_xlfn.XLOOKUP(テーブル20[[#This Row],[ID]],T!$A:$A,T!$AK:$AK,"",0),エリア一覧[ID],エリア一覧[エリア],"",0)</f>
        <v/>
      </c>
      <c r="G63" s="1" t="str">
        <f>_xlfn.XLOOKUP(_xlfn.XLOOKUP(テーブル20[[#This Row],[ID]],T!$A:$A,T!$B:$B,"",0),追変ステータス[ステータスID],追変ステータス[ステータス],"",0)</f>
        <v/>
      </c>
      <c r="H63" t="str">
        <f>_xlfn.XLOOKUP(テーブル20[[#This Row],[ID]],T!$A:$A,T!$N:$N,"",0)</f>
        <v/>
      </c>
      <c r="I63" s="1" t="str">
        <f>_xlfn.XLOOKUP(_xlfn.XLOOKUP(テーブル20[[#This Row],[ID]],T!$A:$A,T!$AT:$AT,"",0),社員リスト[ユーザID],社員リスト[名前],"",0)</f>
        <v/>
      </c>
      <c r="J63" s="538" t="str">
        <f>_xlfn.XLOOKUP(テーブル20[[#This Row],[ID]],T!$A:$A,T!$I:$I,"",0)</f>
        <v/>
      </c>
      <c r="K63" s="540" t="str">
        <f>_xlfn.XLOOKUP(テーブル20[[#This Row],[ID]],T!$A:$A,T!$AI:$AI,"",0)</f>
        <v/>
      </c>
      <c r="L63" s="71" t="str">
        <f>_xlfn.XLOOKUP(テーブル20[[#This Row],[ID]],T!$A:$A,T!$AN:$AN,"",0)</f>
        <v/>
      </c>
      <c r="M63" s="71" t="str">
        <f>_xlfn.XLOOKUP(テーブル20[[#This Row],[ID]],T!$A:$A,T!$AO:$AO,"",0)</f>
        <v/>
      </c>
    </row>
    <row r="64" spans="1:13">
      <c r="A64">
        <v>51</v>
      </c>
      <c r="B64" s="63"/>
      <c r="D64" s="541" t="str">
        <f>IF(T!A63&lt;&gt;"",HYPERLINK("https://nextoffice.next-hd.co.jp/pleasanter/items/"&amp;T!A63&amp;"/edit","開く"),"")</f>
        <v/>
      </c>
      <c r="E64" s="76">
        <f>T!A63</f>
        <v>0</v>
      </c>
      <c r="F64" s="1" t="str">
        <f>_xlfn.XLOOKUP(_xlfn.XLOOKUP(テーブル20[[#This Row],[ID]],T!$A:$A,T!$AK:$AK,"",0),エリア一覧[ID],エリア一覧[エリア],"",0)</f>
        <v/>
      </c>
      <c r="G64" s="1" t="str">
        <f>_xlfn.XLOOKUP(_xlfn.XLOOKUP(テーブル20[[#This Row],[ID]],T!$A:$A,T!$B:$B,"",0),追変ステータス[ステータスID],追変ステータス[ステータス],"",0)</f>
        <v/>
      </c>
      <c r="H64" t="str">
        <f>_xlfn.XLOOKUP(テーブル20[[#This Row],[ID]],T!$A:$A,T!$N:$N,"",0)</f>
        <v/>
      </c>
      <c r="I64" s="1" t="str">
        <f>_xlfn.XLOOKUP(_xlfn.XLOOKUP(テーブル20[[#This Row],[ID]],T!$A:$A,T!$AT:$AT,"",0),社員リスト[ユーザID],社員リスト[名前],"",0)</f>
        <v/>
      </c>
      <c r="J64" s="538" t="str">
        <f>_xlfn.XLOOKUP(テーブル20[[#This Row],[ID]],T!$A:$A,T!$I:$I,"",0)</f>
        <v/>
      </c>
      <c r="K64" s="540" t="str">
        <f>_xlfn.XLOOKUP(テーブル20[[#This Row],[ID]],T!$A:$A,T!$AI:$AI,"",0)</f>
        <v/>
      </c>
      <c r="L64" s="71" t="str">
        <f>_xlfn.XLOOKUP(テーブル20[[#This Row],[ID]],T!$A:$A,T!$AN:$AN,"",0)</f>
        <v/>
      </c>
      <c r="M64" s="71" t="str">
        <f>_xlfn.XLOOKUP(テーブル20[[#This Row],[ID]],T!$A:$A,T!$AO:$AO,"",0)</f>
        <v/>
      </c>
    </row>
    <row r="65" spans="1:13">
      <c r="A65">
        <v>52</v>
      </c>
      <c r="B65" s="63"/>
      <c r="D65" s="541" t="str">
        <f>IF(T!A64&lt;&gt;"",HYPERLINK("https://nextoffice.next-hd.co.jp/pleasanter/items/"&amp;T!A64&amp;"/edit","開く"),"")</f>
        <v/>
      </c>
      <c r="E65" s="76">
        <f>T!A64</f>
        <v>0</v>
      </c>
      <c r="F65" s="1" t="str">
        <f>_xlfn.XLOOKUP(_xlfn.XLOOKUP(テーブル20[[#This Row],[ID]],T!$A:$A,T!$AK:$AK,"",0),エリア一覧[ID],エリア一覧[エリア],"",0)</f>
        <v/>
      </c>
      <c r="G65" s="1" t="str">
        <f>_xlfn.XLOOKUP(_xlfn.XLOOKUP(テーブル20[[#This Row],[ID]],T!$A:$A,T!$B:$B,"",0),追変ステータス[ステータスID],追変ステータス[ステータス],"",0)</f>
        <v/>
      </c>
      <c r="H65" t="str">
        <f>_xlfn.XLOOKUP(テーブル20[[#This Row],[ID]],T!$A:$A,T!$N:$N,"",0)</f>
        <v/>
      </c>
      <c r="I65" s="1" t="str">
        <f>_xlfn.XLOOKUP(_xlfn.XLOOKUP(テーブル20[[#This Row],[ID]],T!$A:$A,T!$AT:$AT,"",0),社員リスト[ユーザID],社員リスト[名前],"",0)</f>
        <v/>
      </c>
      <c r="J65" s="538" t="str">
        <f>_xlfn.XLOOKUP(テーブル20[[#This Row],[ID]],T!$A:$A,T!$I:$I,"",0)</f>
        <v/>
      </c>
      <c r="K65" s="540" t="str">
        <f>_xlfn.XLOOKUP(テーブル20[[#This Row],[ID]],T!$A:$A,T!$AI:$AI,"",0)</f>
        <v/>
      </c>
      <c r="L65" s="71" t="str">
        <f>_xlfn.XLOOKUP(テーブル20[[#This Row],[ID]],T!$A:$A,T!$AN:$AN,"",0)</f>
        <v/>
      </c>
      <c r="M65" s="71" t="str">
        <f>_xlfn.XLOOKUP(テーブル20[[#This Row],[ID]],T!$A:$A,T!$AO:$AO,"",0)</f>
        <v/>
      </c>
    </row>
    <row r="66" spans="1:13">
      <c r="A66">
        <v>53</v>
      </c>
      <c r="B66" s="63"/>
      <c r="D66" s="541" t="str">
        <f>IF(T!A65&lt;&gt;"",HYPERLINK("https://nextoffice.next-hd.co.jp/pleasanter/items/"&amp;T!A65&amp;"/edit","開く"),"")</f>
        <v/>
      </c>
      <c r="E66" s="76">
        <f>T!A65</f>
        <v>0</v>
      </c>
      <c r="F66" s="1" t="str">
        <f>_xlfn.XLOOKUP(_xlfn.XLOOKUP(テーブル20[[#This Row],[ID]],T!$A:$A,T!$AK:$AK,"",0),エリア一覧[ID],エリア一覧[エリア],"",0)</f>
        <v/>
      </c>
      <c r="G66" s="1" t="str">
        <f>_xlfn.XLOOKUP(_xlfn.XLOOKUP(テーブル20[[#This Row],[ID]],T!$A:$A,T!$B:$B,"",0),追変ステータス[ステータスID],追変ステータス[ステータス],"",0)</f>
        <v/>
      </c>
      <c r="H66" t="str">
        <f>_xlfn.XLOOKUP(テーブル20[[#This Row],[ID]],T!$A:$A,T!$N:$N,"",0)</f>
        <v/>
      </c>
      <c r="I66" s="1" t="str">
        <f>_xlfn.XLOOKUP(_xlfn.XLOOKUP(テーブル20[[#This Row],[ID]],T!$A:$A,T!$AT:$AT,"",0),社員リスト[ユーザID],社員リスト[名前],"",0)</f>
        <v/>
      </c>
      <c r="J66" s="538" t="str">
        <f>_xlfn.XLOOKUP(テーブル20[[#This Row],[ID]],T!$A:$A,T!$I:$I,"",0)</f>
        <v/>
      </c>
      <c r="K66" s="540" t="str">
        <f>_xlfn.XLOOKUP(テーブル20[[#This Row],[ID]],T!$A:$A,T!$AI:$AI,"",0)</f>
        <v/>
      </c>
      <c r="L66" s="71" t="str">
        <f>_xlfn.XLOOKUP(テーブル20[[#This Row],[ID]],T!$A:$A,T!$AN:$AN,"",0)</f>
        <v/>
      </c>
      <c r="M66" s="71" t="str">
        <f>_xlfn.XLOOKUP(テーブル20[[#This Row],[ID]],T!$A:$A,T!$AO:$AO,"",0)</f>
        <v/>
      </c>
    </row>
    <row r="67" spans="1:13">
      <c r="A67">
        <v>54</v>
      </c>
      <c r="B67" s="63"/>
      <c r="D67" s="541" t="str">
        <f>IF(T!A66&lt;&gt;"",HYPERLINK("https://nextoffice.next-hd.co.jp/pleasanter/items/"&amp;T!A66&amp;"/edit","開く"),"")</f>
        <v/>
      </c>
      <c r="E67" s="76">
        <f>T!A66</f>
        <v>0</v>
      </c>
      <c r="F67" s="1" t="str">
        <f>_xlfn.XLOOKUP(_xlfn.XLOOKUP(テーブル20[[#This Row],[ID]],T!$A:$A,T!$AK:$AK,"",0),エリア一覧[ID],エリア一覧[エリア],"",0)</f>
        <v/>
      </c>
      <c r="G67" s="1" t="str">
        <f>_xlfn.XLOOKUP(_xlfn.XLOOKUP(テーブル20[[#This Row],[ID]],T!$A:$A,T!$B:$B,"",0),追変ステータス[ステータスID],追変ステータス[ステータス],"",0)</f>
        <v/>
      </c>
      <c r="H67" t="str">
        <f>_xlfn.XLOOKUP(テーブル20[[#This Row],[ID]],T!$A:$A,T!$N:$N,"",0)</f>
        <v/>
      </c>
      <c r="I67" s="1" t="str">
        <f>_xlfn.XLOOKUP(_xlfn.XLOOKUP(テーブル20[[#This Row],[ID]],T!$A:$A,T!$AT:$AT,"",0),社員リスト[ユーザID],社員リスト[名前],"",0)</f>
        <v/>
      </c>
      <c r="J67" s="538" t="str">
        <f>_xlfn.XLOOKUP(テーブル20[[#This Row],[ID]],T!$A:$A,T!$I:$I,"",0)</f>
        <v/>
      </c>
      <c r="K67" s="540" t="str">
        <f>_xlfn.XLOOKUP(テーブル20[[#This Row],[ID]],T!$A:$A,T!$AI:$AI,"",0)</f>
        <v/>
      </c>
      <c r="L67" s="71" t="str">
        <f>_xlfn.XLOOKUP(テーブル20[[#This Row],[ID]],T!$A:$A,T!$AN:$AN,"",0)</f>
        <v/>
      </c>
      <c r="M67" s="71" t="str">
        <f>_xlfn.XLOOKUP(テーブル20[[#This Row],[ID]],T!$A:$A,T!$AO:$AO,"",0)</f>
        <v/>
      </c>
    </row>
    <row r="68" spans="1:13">
      <c r="A68">
        <v>55</v>
      </c>
      <c r="B68" s="63"/>
      <c r="D68" s="541" t="str">
        <f>IF(T!A67&lt;&gt;"",HYPERLINK("https://nextoffice.next-hd.co.jp/pleasanter/items/"&amp;T!A67&amp;"/edit","開く"),"")</f>
        <v/>
      </c>
      <c r="E68" s="76">
        <f>T!A67</f>
        <v>0</v>
      </c>
      <c r="F68" s="1" t="str">
        <f>_xlfn.XLOOKUP(_xlfn.XLOOKUP(テーブル20[[#This Row],[ID]],T!$A:$A,T!$AK:$AK,"",0),エリア一覧[ID],エリア一覧[エリア],"",0)</f>
        <v/>
      </c>
      <c r="G68" s="1" t="str">
        <f>_xlfn.XLOOKUP(_xlfn.XLOOKUP(テーブル20[[#This Row],[ID]],T!$A:$A,T!$B:$B,"",0),追変ステータス[ステータスID],追変ステータス[ステータス],"",0)</f>
        <v/>
      </c>
      <c r="H68" t="str">
        <f>_xlfn.XLOOKUP(テーブル20[[#This Row],[ID]],T!$A:$A,T!$N:$N,"",0)</f>
        <v/>
      </c>
      <c r="I68" s="1" t="str">
        <f>_xlfn.XLOOKUP(_xlfn.XLOOKUP(テーブル20[[#This Row],[ID]],T!$A:$A,T!$AT:$AT,"",0),社員リスト[ユーザID],社員リスト[名前],"",0)</f>
        <v/>
      </c>
      <c r="J68" s="538" t="str">
        <f>_xlfn.XLOOKUP(テーブル20[[#This Row],[ID]],T!$A:$A,T!$I:$I,"",0)</f>
        <v/>
      </c>
      <c r="K68" s="540" t="str">
        <f>_xlfn.XLOOKUP(テーブル20[[#This Row],[ID]],T!$A:$A,T!$AI:$AI,"",0)</f>
        <v/>
      </c>
      <c r="L68" s="71" t="str">
        <f>_xlfn.XLOOKUP(テーブル20[[#This Row],[ID]],T!$A:$A,T!$AN:$AN,"",0)</f>
        <v/>
      </c>
      <c r="M68" s="71" t="str">
        <f>_xlfn.XLOOKUP(テーブル20[[#This Row],[ID]],T!$A:$A,T!$AO:$AO,"",0)</f>
        <v/>
      </c>
    </row>
    <row r="69" spans="1:13">
      <c r="A69">
        <v>56</v>
      </c>
      <c r="B69" s="63"/>
      <c r="D69" s="541" t="str">
        <f>IF(T!A68&lt;&gt;"",HYPERLINK("https://nextoffice.next-hd.co.jp/pleasanter/items/"&amp;T!A68&amp;"/edit","開く"),"")</f>
        <v/>
      </c>
      <c r="E69" s="76">
        <f>T!A68</f>
        <v>0</v>
      </c>
      <c r="F69" s="1" t="str">
        <f>_xlfn.XLOOKUP(_xlfn.XLOOKUP(テーブル20[[#This Row],[ID]],T!$A:$A,T!$AK:$AK,"",0),エリア一覧[ID],エリア一覧[エリア],"",0)</f>
        <v/>
      </c>
      <c r="G69" s="1" t="str">
        <f>_xlfn.XLOOKUP(_xlfn.XLOOKUP(テーブル20[[#This Row],[ID]],T!$A:$A,T!$B:$B,"",0),追変ステータス[ステータスID],追変ステータス[ステータス],"",0)</f>
        <v/>
      </c>
      <c r="H69" t="str">
        <f>_xlfn.XLOOKUP(テーブル20[[#This Row],[ID]],T!$A:$A,T!$N:$N,"",0)</f>
        <v/>
      </c>
      <c r="I69" s="1" t="str">
        <f>_xlfn.XLOOKUP(_xlfn.XLOOKUP(テーブル20[[#This Row],[ID]],T!$A:$A,T!$AT:$AT,"",0),社員リスト[ユーザID],社員リスト[名前],"",0)</f>
        <v/>
      </c>
      <c r="J69" s="538" t="str">
        <f>_xlfn.XLOOKUP(テーブル20[[#This Row],[ID]],T!$A:$A,T!$I:$I,"",0)</f>
        <v/>
      </c>
      <c r="K69" s="540" t="str">
        <f>_xlfn.XLOOKUP(テーブル20[[#This Row],[ID]],T!$A:$A,T!$AI:$AI,"",0)</f>
        <v/>
      </c>
      <c r="L69" s="71" t="str">
        <f>_xlfn.XLOOKUP(テーブル20[[#This Row],[ID]],T!$A:$A,T!$AN:$AN,"",0)</f>
        <v/>
      </c>
      <c r="M69" s="71" t="str">
        <f>_xlfn.XLOOKUP(テーブル20[[#This Row],[ID]],T!$A:$A,T!$AO:$AO,"",0)</f>
        <v/>
      </c>
    </row>
    <row r="70" spans="1:13">
      <c r="A70">
        <v>57</v>
      </c>
      <c r="B70" s="63"/>
      <c r="D70" s="541" t="str">
        <f>IF(T!A69&lt;&gt;"",HYPERLINK("https://nextoffice.next-hd.co.jp/pleasanter/items/"&amp;T!A69&amp;"/edit","開く"),"")</f>
        <v/>
      </c>
      <c r="E70" s="76">
        <f>T!A69</f>
        <v>0</v>
      </c>
      <c r="F70" s="1" t="str">
        <f>_xlfn.XLOOKUP(_xlfn.XLOOKUP(テーブル20[[#This Row],[ID]],T!$A:$A,T!$AK:$AK,"",0),エリア一覧[ID],エリア一覧[エリア],"",0)</f>
        <v/>
      </c>
      <c r="G70" s="1" t="str">
        <f>_xlfn.XLOOKUP(_xlfn.XLOOKUP(テーブル20[[#This Row],[ID]],T!$A:$A,T!$B:$B,"",0),追変ステータス[ステータスID],追変ステータス[ステータス],"",0)</f>
        <v/>
      </c>
      <c r="H70" t="str">
        <f>_xlfn.XLOOKUP(テーブル20[[#This Row],[ID]],T!$A:$A,T!$N:$N,"",0)</f>
        <v/>
      </c>
      <c r="I70" s="1" t="str">
        <f>_xlfn.XLOOKUP(_xlfn.XLOOKUP(テーブル20[[#This Row],[ID]],T!$A:$A,T!$AT:$AT,"",0),社員リスト[ユーザID],社員リスト[名前],"",0)</f>
        <v/>
      </c>
      <c r="J70" s="538" t="str">
        <f>_xlfn.XLOOKUP(テーブル20[[#This Row],[ID]],T!$A:$A,T!$I:$I,"",0)</f>
        <v/>
      </c>
      <c r="K70" s="540" t="str">
        <f>_xlfn.XLOOKUP(テーブル20[[#This Row],[ID]],T!$A:$A,T!$AI:$AI,"",0)</f>
        <v/>
      </c>
      <c r="L70" s="71" t="str">
        <f>_xlfn.XLOOKUP(テーブル20[[#This Row],[ID]],T!$A:$A,T!$AN:$AN,"",0)</f>
        <v/>
      </c>
      <c r="M70" s="71" t="str">
        <f>_xlfn.XLOOKUP(テーブル20[[#This Row],[ID]],T!$A:$A,T!$AO:$AO,"",0)</f>
        <v/>
      </c>
    </row>
    <row r="71" spans="1:13">
      <c r="A71">
        <v>58</v>
      </c>
      <c r="B71" s="63"/>
      <c r="D71" s="541" t="str">
        <f>IF(T!A70&lt;&gt;"",HYPERLINK("https://nextoffice.next-hd.co.jp/pleasanter/items/"&amp;T!A70&amp;"/edit","開く"),"")</f>
        <v/>
      </c>
      <c r="E71" s="76">
        <f>T!A70</f>
        <v>0</v>
      </c>
      <c r="F71" s="1" t="str">
        <f>_xlfn.XLOOKUP(_xlfn.XLOOKUP(テーブル20[[#This Row],[ID]],T!$A:$A,T!$AK:$AK,"",0),エリア一覧[ID],エリア一覧[エリア],"",0)</f>
        <v/>
      </c>
      <c r="G71" s="1" t="str">
        <f>_xlfn.XLOOKUP(_xlfn.XLOOKUP(テーブル20[[#This Row],[ID]],T!$A:$A,T!$B:$B,"",0),追変ステータス[ステータスID],追変ステータス[ステータス],"",0)</f>
        <v/>
      </c>
      <c r="H71" t="str">
        <f>_xlfn.XLOOKUP(テーブル20[[#This Row],[ID]],T!$A:$A,T!$N:$N,"",0)</f>
        <v/>
      </c>
      <c r="I71" s="1" t="str">
        <f>_xlfn.XLOOKUP(_xlfn.XLOOKUP(テーブル20[[#This Row],[ID]],T!$A:$A,T!$AT:$AT,"",0),社員リスト[ユーザID],社員リスト[名前],"",0)</f>
        <v/>
      </c>
      <c r="J71" s="538" t="str">
        <f>_xlfn.XLOOKUP(テーブル20[[#This Row],[ID]],T!$A:$A,T!$I:$I,"",0)</f>
        <v/>
      </c>
      <c r="K71" s="540" t="str">
        <f>_xlfn.XLOOKUP(テーブル20[[#This Row],[ID]],T!$A:$A,T!$AI:$AI,"",0)</f>
        <v/>
      </c>
      <c r="L71" s="71" t="str">
        <f>_xlfn.XLOOKUP(テーブル20[[#This Row],[ID]],T!$A:$A,T!$AN:$AN,"",0)</f>
        <v/>
      </c>
      <c r="M71" s="71" t="str">
        <f>_xlfn.XLOOKUP(テーブル20[[#This Row],[ID]],T!$A:$A,T!$AO:$AO,"",0)</f>
        <v/>
      </c>
    </row>
    <row r="72" spans="1:13">
      <c r="A72">
        <v>59</v>
      </c>
      <c r="B72" s="63"/>
      <c r="D72" s="541" t="str">
        <f>IF(T!A71&lt;&gt;"",HYPERLINK("https://nextoffice.next-hd.co.jp/pleasanter/items/"&amp;T!A71&amp;"/edit","開く"),"")</f>
        <v/>
      </c>
      <c r="E72" s="76">
        <f>T!A71</f>
        <v>0</v>
      </c>
      <c r="F72" s="1" t="str">
        <f>_xlfn.XLOOKUP(_xlfn.XLOOKUP(テーブル20[[#This Row],[ID]],T!$A:$A,T!$AK:$AK,"",0),エリア一覧[ID],エリア一覧[エリア],"",0)</f>
        <v/>
      </c>
      <c r="G72" s="1" t="str">
        <f>_xlfn.XLOOKUP(_xlfn.XLOOKUP(テーブル20[[#This Row],[ID]],T!$A:$A,T!$B:$B,"",0),追変ステータス[ステータスID],追変ステータス[ステータス],"",0)</f>
        <v/>
      </c>
      <c r="H72" t="str">
        <f>_xlfn.XLOOKUP(テーブル20[[#This Row],[ID]],T!$A:$A,T!$N:$N,"",0)</f>
        <v/>
      </c>
      <c r="I72" s="1" t="str">
        <f>_xlfn.XLOOKUP(_xlfn.XLOOKUP(テーブル20[[#This Row],[ID]],T!$A:$A,T!$AT:$AT,"",0),社員リスト[ユーザID],社員リスト[名前],"",0)</f>
        <v/>
      </c>
      <c r="J72" s="538" t="str">
        <f>_xlfn.XLOOKUP(テーブル20[[#This Row],[ID]],T!$A:$A,T!$I:$I,"",0)</f>
        <v/>
      </c>
      <c r="K72" s="540" t="str">
        <f>_xlfn.XLOOKUP(テーブル20[[#This Row],[ID]],T!$A:$A,T!$AI:$AI,"",0)</f>
        <v/>
      </c>
      <c r="L72" s="71" t="str">
        <f>_xlfn.XLOOKUP(テーブル20[[#This Row],[ID]],T!$A:$A,T!$AN:$AN,"",0)</f>
        <v/>
      </c>
      <c r="M72" s="71" t="str">
        <f>_xlfn.XLOOKUP(テーブル20[[#This Row],[ID]],T!$A:$A,T!$AO:$AO,"",0)</f>
        <v/>
      </c>
    </row>
    <row r="73" spans="1:13">
      <c r="A73">
        <v>60</v>
      </c>
      <c r="B73" s="63"/>
      <c r="D73" s="541" t="str">
        <f>IF(T!A72&lt;&gt;"",HYPERLINK("https://nextoffice.next-hd.co.jp/pleasanter/items/"&amp;T!A72&amp;"/edit","開く"),"")</f>
        <v/>
      </c>
      <c r="E73" s="76">
        <f>T!A72</f>
        <v>0</v>
      </c>
      <c r="F73" s="1" t="str">
        <f>_xlfn.XLOOKUP(_xlfn.XLOOKUP(テーブル20[[#This Row],[ID]],T!$A:$A,T!$AK:$AK,"",0),エリア一覧[ID],エリア一覧[エリア],"",0)</f>
        <v/>
      </c>
      <c r="G73" s="1" t="str">
        <f>_xlfn.XLOOKUP(_xlfn.XLOOKUP(テーブル20[[#This Row],[ID]],T!$A:$A,T!$B:$B,"",0),追変ステータス[ステータスID],追変ステータス[ステータス],"",0)</f>
        <v/>
      </c>
      <c r="H73" t="str">
        <f>_xlfn.XLOOKUP(テーブル20[[#This Row],[ID]],T!$A:$A,T!$N:$N,"",0)</f>
        <v/>
      </c>
      <c r="I73" s="1" t="str">
        <f>_xlfn.XLOOKUP(_xlfn.XLOOKUP(テーブル20[[#This Row],[ID]],T!$A:$A,T!$AT:$AT,"",0),社員リスト[ユーザID],社員リスト[名前],"",0)</f>
        <v/>
      </c>
      <c r="J73" s="538" t="str">
        <f>_xlfn.XLOOKUP(テーブル20[[#This Row],[ID]],T!$A:$A,T!$I:$I,"",0)</f>
        <v/>
      </c>
      <c r="K73" s="540" t="str">
        <f>_xlfn.XLOOKUP(テーブル20[[#This Row],[ID]],T!$A:$A,T!$AI:$AI,"",0)</f>
        <v/>
      </c>
      <c r="L73" s="71" t="str">
        <f>_xlfn.XLOOKUP(テーブル20[[#This Row],[ID]],T!$A:$A,T!$AN:$AN,"",0)</f>
        <v/>
      </c>
      <c r="M73" s="71" t="str">
        <f>_xlfn.XLOOKUP(テーブル20[[#This Row],[ID]],T!$A:$A,T!$AO:$AO,"",0)</f>
        <v/>
      </c>
    </row>
    <row r="74" spans="1:13">
      <c r="A74">
        <v>61</v>
      </c>
      <c r="B74" s="63"/>
      <c r="D74" s="541" t="str">
        <f>IF(T!A73&lt;&gt;"",HYPERLINK("https://nextoffice.next-hd.co.jp/pleasanter/items/"&amp;T!A73&amp;"/edit","開く"),"")</f>
        <v/>
      </c>
      <c r="E74" s="76">
        <f>T!A73</f>
        <v>0</v>
      </c>
      <c r="F74" s="1" t="str">
        <f>_xlfn.XLOOKUP(_xlfn.XLOOKUP(テーブル20[[#This Row],[ID]],T!$A:$A,T!$AK:$AK,"",0),エリア一覧[ID],エリア一覧[エリア],"",0)</f>
        <v/>
      </c>
      <c r="G74" s="1" t="str">
        <f>_xlfn.XLOOKUP(_xlfn.XLOOKUP(テーブル20[[#This Row],[ID]],T!$A:$A,T!$B:$B,"",0),追変ステータス[ステータスID],追変ステータス[ステータス],"",0)</f>
        <v/>
      </c>
      <c r="H74" t="str">
        <f>_xlfn.XLOOKUP(テーブル20[[#This Row],[ID]],T!$A:$A,T!$N:$N,"",0)</f>
        <v/>
      </c>
      <c r="I74" s="1" t="str">
        <f>_xlfn.XLOOKUP(_xlfn.XLOOKUP(テーブル20[[#This Row],[ID]],T!$A:$A,T!$AT:$AT,"",0),社員リスト[ユーザID],社員リスト[名前],"",0)</f>
        <v/>
      </c>
      <c r="J74" s="538" t="str">
        <f>_xlfn.XLOOKUP(テーブル20[[#This Row],[ID]],T!$A:$A,T!$I:$I,"",0)</f>
        <v/>
      </c>
      <c r="K74" s="540" t="str">
        <f>_xlfn.XLOOKUP(テーブル20[[#This Row],[ID]],T!$A:$A,T!$AI:$AI,"",0)</f>
        <v/>
      </c>
      <c r="L74" s="71" t="str">
        <f>_xlfn.XLOOKUP(テーブル20[[#This Row],[ID]],T!$A:$A,T!$AN:$AN,"",0)</f>
        <v/>
      </c>
      <c r="M74" s="71" t="str">
        <f>_xlfn.XLOOKUP(テーブル20[[#This Row],[ID]],T!$A:$A,T!$AO:$AO,"",0)</f>
        <v/>
      </c>
    </row>
    <row r="75" spans="1:13">
      <c r="A75">
        <v>62</v>
      </c>
      <c r="B75" s="63"/>
      <c r="D75" s="541" t="str">
        <f>IF(T!A74&lt;&gt;"",HYPERLINK("https://nextoffice.next-hd.co.jp/pleasanter/items/"&amp;T!A74&amp;"/edit","開く"),"")</f>
        <v/>
      </c>
      <c r="E75" s="76">
        <f>T!A74</f>
        <v>0</v>
      </c>
      <c r="F75" s="1" t="str">
        <f>_xlfn.XLOOKUP(_xlfn.XLOOKUP(テーブル20[[#This Row],[ID]],T!$A:$A,T!$AK:$AK,"",0),エリア一覧[ID],エリア一覧[エリア],"",0)</f>
        <v/>
      </c>
      <c r="G75" s="1" t="str">
        <f>_xlfn.XLOOKUP(_xlfn.XLOOKUP(テーブル20[[#This Row],[ID]],T!$A:$A,T!$B:$B,"",0),追変ステータス[ステータスID],追変ステータス[ステータス],"",0)</f>
        <v/>
      </c>
      <c r="H75" t="str">
        <f>_xlfn.XLOOKUP(テーブル20[[#This Row],[ID]],T!$A:$A,T!$N:$N,"",0)</f>
        <v/>
      </c>
      <c r="I75" s="1" t="str">
        <f>_xlfn.XLOOKUP(_xlfn.XLOOKUP(テーブル20[[#This Row],[ID]],T!$A:$A,T!$AT:$AT,"",0),社員リスト[ユーザID],社員リスト[名前],"",0)</f>
        <v/>
      </c>
      <c r="J75" s="538" t="str">
        <f>_xlfn.XLOOKUP(テーブル20[[#This Row],[ID]],T!$A:$A,T!$I:$I,"",0)</f>
        <v/>
      </c>
      <c r="K75" s="540" t="str">
        <f>_xlfn.XLOOKUP(テーブル20[[#This Row],[ID]],T!$A:$A,T!$AI:$AI,"",0)</f>
        <v/>
      </c>
      <c r="L75" s="71" t="str">
        <f>_xlfn.XLOOKUP(テーブル20[[#This Row],[ID]],T!$A:$A,T!$AN:$AN,"",0)</f>
        <v/>
      </c>
      <c r="M75" s="71" t="str">
        <f>_xlfn.XLOOKUP(テーブル20[[#This Row],[ID]],T!$A:$A,T!$AO:$AO,"",0)</f>
        <v/>
      </c>
    </row>
    <row r="76" spans="1:13">
      <c r="A76">
        <v>63</v>
      </c>
      <c r="B76" s="63"/>
      <c r="D76" s="541" t="str">
        <f>IF(T!A75&lt;&gt;"",HYPERLINK("https://nextoffice.next-hd.co.jp/pleasanter/items/"&amp;T!A75&amp;"/edit","開く"),"")</f>
        <v/>
      </c>
      <c r="E76" s="76">
        <f>T!A75</f>
        <v>0</v>
      </c>
      <c r="F76" s="1" t="str">
        <f>_xlfn.XLOOKUP(_xlfn.XLOOKUP(テーブル20[[#This Row],[ID]],T!$A:$A,T!$AK:$AK,"",0),エリア一覧[ID],エリア一覧[エリア],"",0)</f>
        <v/>
      </c>
      <c r="G76" s="1" t="str">
        <f>_xlfn.XLOOKUP(_xlfn.XLOOKUP(テーブル20[[#This Row],[ID]],T!$A:$A,T!$B:$B,"",0),追変ステータス[ステータスID],追変ステータス[ステータス],"",0)</f>
        <v/>
      </c>
      <c r="H76" t="str">
        <f>_xlfn.XLOOKUP(テーブル20[[#This Row],[ID]],T!$A:$A,T!$N:$N,"",0)</f>
        <v/>
      </c>
      <c r="I76" s="1" t="str">
        <f>_xlfn.XLOOKUP(_xlfn.XLOOKUP(テーブル20[[#This Row],[ID]],T!$A:$A,T!$AT:$AT,"",0),社員リスト[ユーザID],社員リスト[名前],"",0)</f>
        <v/>
      </c>
      <c r="J76" s="538" t="str">
        <f>_xlfn.XLOOKUP(テーブル20[[#This Row],[ID]],T!$A:$A,T!$I:$I,"",0)</f>
        <v/>
      </c>
      <c r="K76" s="540" t="str">
        <f>_xlfn.XLOOKUP(テーブル20[[#This Row],[ID]],T!$A:$A,T!$AI:$AI,"",0)</f>
        <v/>
      </c>
      <c r="L76" s="71" t="str">
        <f>_xlfn.XLOOKUP(テーブル20[[#This Row],[ID]],T!$A:$A,T!$AN:$AN,"",0)</f>
        <v/>
      </c>
      <c r="M76" s="71" t="str">
        <f>_xlfn.XLOOKUP(テーブル20[[#This Row],[ID]],T!$A:$A,T!$AO:$AO,"",0)</f>
        <v/>
      </c>
    </row>
    <row r="77" spans="1:13">
      <c r="A77">
        <v>64</v>
      </c>
      <c r="B77" s="63"/>
      <c r="D77" s="541" t="str">
        <f>IF(T!A76&lt;&gt;"",HYPERLINK("https://nextoffice.next-hd.co.jp/pleasanter/items/"&amp;T!A76&amp;"/edit","開く"),"")</f>
        <v/>
      </c>
      <c r="E77" s="76">
        <f>T!A76</f>
        <v>0</v>
      </c>
      <c r="F77" s="1" t="str">
        <f>_xlfn.XLOOKUP(_xlfn.XLOOKUP(テーブル20[[#This Row],[ID]],T!$A:$A,T!$AK:$AK,"",0),エリア一覧[ID],エリア一覧[エリア],"",0)</f>
        <v/>
      </c>
      <c r="G77" s="1" t="str">
        <f>_xlfn.XLOOKUP(_xlfn.XLOOKUP(テーブル20[[#This Row],[ID]],T!$A:$A,T!$B:$B,"",0),追変ステータス[ステータスID],追変ステータス[ステータス],"",0)</f>
        <v/>
      </c>
      <c r="H77" t="str">
        <f>_xlfn.XLOOKUP(テーブル20[[#This Row],[ID]],T!$A:$A,T!$N:$N,"",0)</f>
        <v/>
      </c>
      <c r="I77" s="1" t="str">
        <f>_xlfn.XLOOKUP(_xlfn.XLOOKUP(テーブル20[[#This Row],[ID]],T!$A:$A,T!$AT:$AT,"",0),社員リスト[ユーザID],社員リスト[名前],"",0)</f>
        <v/>
      </c>
      <c r="J77" s="538" t="str">
        <f>_xlfn.XLOOKUP(テーブル20[[#This Row],[ID]],T!$A:$A,T!$I:$I,"",0)</f>
        <v/>
      </c>
      <c r="K77" s="540" t="str">
        <f>_xlfn.XLOOKUP(テーブル20[[#This Row],[ID]],T!$A:$A,T!$AI:$AI,"",0)</f>
        <v/>
      </c>
      <c r="L77" s="71" t="str">
        <f>_xlfn.XLOOKUP(テーブル20[[#This Row],[ID]],T!$A:$A,T!$AN:$AN,"",0)</f>
        <v/>
      </c>
      <c r="M77" s="71" t="str">
        <f>_xlfn.XLOOKUP(テーブル20[[#This Row],[ID]],T!$A:$A,T!$AO:$AO,"",0)</f>
        <v/>
      </c>
    </row>
    <row r="78" spans="1:13">
      <c r="A78">
        <v>65</v>
      </c>
      <c r="B78" s="63"/>
      <c r="D78" s="541" t="str">
        <f>IF(T!A77&lt;&gt;"",HYPERLINK("https://nextoffice.next-hd.co.jp/pleasanter/items/"&amp;T!A77&amp;"/edit","開く"),"")</f>
        <v/>
      </c>
      <c r="E78" s="76">
        <f>T!A77</f>
        <v>0</v>
      </c>
      <c r="F78" s="1" t="str">
        <f>_xlfn.XLOOKUP(_xlfn.XLOOKUP(テーブル20[[#This Row],[ID]],T!$A:$A,T!$AK:$AK,"",0),エリア一覧[ID],エリア一覧[エリア],"",0)</f>
        <v/>
      </c>
      <c r="G78" s="1" t="str">
        <f>_xlfn.XLOOKUP(_xlfn.XLOOKUP(テーブル20[[#This Row],[ID]],T!$A:$A,T!$B:$B,"",0),追変ステータス[ステータスID],追変ステータス[ステータス],"",0)</f>
        <v/>
      </c>
      <c r="H78" t="str">
        <f>_xlfn.XLOOKUP(テーブル20[[#This Row],[ID]],T!$A:$A,T!$N:$N,"",0)</f>
        <v/>
      </c>
      <c r="I78" s="1" t="str">
        <f>_xlfn.XLOOKUP(_xlfn.XLOOKUP(テーブル20[[#This Row],[ID]],T!$A:$A,T!$AT:$AT,"",0),社員リスト[ユーザID],社員リスト[名前],"",0)</f>
        <v/>
      </c>
      <c r="J78" s="538" t="str">
        <f>_xlfn.XLOOKUP(テーブル20[[#This Row],[ID]],T!$A:$A,T!$I:$I,"",0)</f>
        <v/>
      </c>
      <c r="K78" s="540" t="str">
        <f>_xlfn.XLOOKUP(テーブル20[[#This Row],[ID]],T!$A:$A,T!$AI:$AI,"",0)</f>
        <v/>
      </c>
      <c r="L78" s="71" t="str">
        <f>_xlfn.XLOOKUP(テーブル20[[#This Row],[ID]],T!$A:$A,T!$AN:$AN,"",0)</f>
        <v/>
      </c>
      <c r="M78" s="71" t="str">
        <f>_xlfn.XLOOKUP(テーブル20[[#This Row],[ID]],T!$A:$A,T!$AO:$AO,"",0)</f>
        <v/>
      </c>
    </row>
    <row r="79" spans="1:13">
      <c r="A79">
        <v>66</v>
      </c>
      <c r="B79" s="63"/>
      <c r="D79" s="541" t="str">
        <f>IF(T!A78&lt;&gt;"",HYPERLINK("https://nextoffice.next-hd.co.jp/pleasanter/items/"&amp;T!A78&amp;"/edit","開く"),"")</f>
        <v/>
      </c>
      <c r="E79" s="76">
        <f>T!A78</f>
        <v>0</v>
      </c>
      <c r="F79" s="1" t="str">
        <f>_xlfn.XLOOKUP(_xlfn.XLOOKUP(テーブル20[[#This Row],[ID]],T!$A:$A,T!$AK:$AK,"",0),エリア一覧[ID],エリア一覧[エリア],"",0)</f>
        <v/>
      </c>
      <c r="G79" s="1" t="str">
        <f>_xlfn.XLOOKUP(_xlfn.XLOOKUP(テーブル20[[#This Row],[ID]],T!$A:$A,T!$B:$B,"",0),追変ステータス[ステータスID],追変ステータス[ステータス],"",0)</f>
        <v/>
      </c>
      <c r="H79" t="str">
        <f>_xlfn.XLOOKUP(テーブル20[[#This Row],[ID]],T!$A:$A,T!$N:$N,"",0)</f>
        <v/>
      </c>
      <c r="I79" s="1" t="str">
        <f>_xlfn.XLOOKUP(_xlfn.XLOOKUP(テーブル20[[#This Row],[ID]],T!$A:$A,T!$AT:$AT,"",0),社員リスト[ユーザID],社員リスト[名前],"",0)</f>
        <v/>
      </c>
      <c r="J79" s="538" t="str">
        <f>_xlfn.XLOOKUP(テーブル20[[#This Row],[ID]],T!$A:$A,T!$I:$I,"",0)</f>
        <v/>
      </c>
      <c r="K79" s="540" t="str">
        <f>_xlfn.XLOOKUP(テーブル20[[#This Row],[ID]],T!$A:$A,T!$AI:$AI,"",0)</f>
        <v/>
      </c>
      <c r="L79" s="71" t="str">
        <f>_xlfn.XLOOKUP(テーブル20[[#This Row],[ID]],T!$A:$A,T!$AN:$AN,"",0)</f>
        <v/>
      </c>
      <c r="M79" s="71" t="str">
        <f>_xlfn.XLOOKUP(テーブル20[[#This Row],[ID]],T!$A:$A,T!$AO:$AO,"",0)</f>
        <v/>
      </c>
    </row>
    <row r="80" spans="1:13">
      <c r="A80">
        <v>67</v>
      </c>
      <c r="B80" s="63"/>
      <c r="D80" s="541" t="str">
        <f>IF(T!A79&lt;&gt;"",HYPERLINK("https://nextoffice.next-hd.co.jp/pleasanter/items/"&amp;T!A79&amp;"/edit","開く"),"")</f>
        <v/>
      </c>
      <c r="E80" s="76">
        <f>T!A79</f>
        <v>0</v>
      </c>
      <c r="F80" s="1" t="str">
        <f>_xlfn.XLOOKUP(_xlfn.XLOOKUP(テーブル20[[#This Row],[ID]],T!$A:$A,T!$AK:$AK,"",0),エリア一覧[ID],エリア一覧[エリア],"",0)</f>
        <v/>
      </c>
      <c r="G80" s="1" t="str">
        <f>_xlfn.XLOOKUP(_xlfn.XLOOKUP(テーブル20[[#This Row],[ID]],T!$A:$A,T!$B:$B,"",0),追変ステータス[ステータスID],追変ステータス[ステータス],"",0)</f>
        <v/>
      </c>
      <c r="H80" t="str">
        <f>_xlfn.XLOOKUP(テーブル20[[#This Row],[ID]],T!$A:$A,T!$N:$N,"",0)</f>
        <v/>
      </c>
      <c r="I80" s="1" t="str">
        <f>_xlfn.XLOOKUP(_xlfn.XLOOKUP(テーブル20[[#This Row],[ID]],T!$A:$A,T!$AT:$AT,"",0),社員リスト[ユーザID],社員リスト[名前],"",0)</f>
        <v/>
      </c>
      <c r="J80" s="538" t="str">
        <f>_xlfn.XLOOKUP(テーブル20[[#This Row],[ID]],T!$A:$A,T!$I:$I,"",0)</f>
        <v/>
      </c>
      <c r="K80" s="540" t="str">
        <f>_xlfn.XLOOKUP(テーブル20[[#This Row],[ID]],T!$A:$A,T!$AI:$AI,"",0)</f>
        <v/>
      </c>
      <c r="L80" s="71" t="str">
        <f>_xlfn.XLOOKUP(テーブル20[[#This Row],[ID]],T!$A:$A,T!$AN:$AN,"",0)</f>
        <v/>
      </c>
      <c r="M80" s="71" t="str">
        <f>_xlfn.XLOOKUP(テーブル20[[#This Row],[ID]],T!$A:$A,T!$AO:$AO,"",0)</f>
        <v/>
      </c>
    </row>
    <row r="81" spans="1:13">
      <c r="A81">
        <v>68</v>
      </c>
      <c r="B81" s="63"/>
      <c r="D81" s="541" t="str">
        <f>IF(T!A80&lt;&gt;"",HYPERLINK("https://nextoffice.next-hd.co.jp/pleasanter/items/"&amp;T!A80&amp;"/edit","開く"),"")</f>
        <v/>
      </c>
      <c r="E81" s="76">
        <f>T!A80</f>
        <v>0</v>
      </c>
      <c r="F81" s="1" t="str">
        <f>_xlfn.XLOOKUP(_xlfn.XLOOKUP(テーブル20[[#This Row],[ID]],T!$A:$A,T!$AK:$AK,"",0),エリア一覧[ID],エリア一覧[エリア],"",0)</f>
        <v/>
      </c>
      <c r="G81" s="1" t="str">
        <f>_xlfn.XLOOKUP(_xlfn.XLOOKUP(テーブル20[[#This Row],[ID]],T!$A:$A,T!$B:$B,"",0),追変ステータス[ステータスID],追変ステータス[ステータス],"",0)</f>
        <v/>
      </c>
      <c r="H81" t="str">
        <f>_xlfn.XLOOKUP(テーブル20[[#This Row],[ID]],T!$A:$A,T!$N:$N,"",0)</f>
        <v/>
      </c>
      <c r="I81" s="1" t="str">
        <f>_xlfn.XLOOKUP(_xlfn.XLOOKUP(テーブル20[[#This Row],[ID]],T!$A:$A,T!$AT:$AT,"",0),社員リスト[ユーザID],社員リスト[名前],"",0)</f>
        <v/>
      </c>
      <c r="J81" s="538" t="str">
        <f>_xlfn.XLOOKUP(テーブル20[[#This Row],[ID]],T!$A:$A,T!$I:$I,"",0)</f>
        <v/>
      </c>
      <c r="K81" s="540" t="str">
        <f>_xlfn.XLOOKUP(テーブル20[[#This Row],[ID]],T!$A:$A,T!$AI:$AI,"",0)</f>
        <v/>
      </c>
      <c r="L81" s="71" t="str">
        <f>_xlfn.XLOOKUP(テーブル20[[#This Row],[ID]],T!$A:$A,T!$AN:$AN,"",0)</f>
        <v/>
      </c>
      <c r="M81" s="71" t="str">
        <f>_xlfn.XLOOKUP(テーブル20[[#This Row],[ID]],T!$A:$A,T!$AO:$AO,"",0)</f>
        <v/>
      </c>
    </row>
    <row r="82" spans="1:13">
      <c r="A82">
        <v>69</v>
      </c>
      <c r="B82" s="63"/>
      <c r="D82" s="541" t="str">
        <f>IF(T!A81&lt;&gt;"",HYPERLINK("https://nextoffice.next-hd.co.jp/pleasanter/items/"&amp;T!A81&amp;"/edit","開く"),"")</f>
        <v/>
      </c>
      <c r="E82" s="76">
        <f>T!A81</f>
        <v>0</v>
      </c>
      <c r="F82" s="1" t="str">
        <f>_xlfn.XLOOKUP(_xlfn.XLOOKUP(テーブル20[[#This Row],[ID]],T!$A:$A,T!$AK:$AK,"",0),エリア一覧[ID],エリア一覧[エリア],"",0)</f>
        <v/>
      </c>
      <c r="G82" s="1" t="str">
        <f>_xlfn.XLOOKUP(_xlfn.XLOOKUP(テーブル20[[#This Row],[ID]],T!$A:$A,T!$B:$B,"",0),追変ステータス[ステータスID],追変ステータス[ステータス],"",0)</f>
        <v/>
      </c>
      <c r="H82" t="str">
        <f>_xlfn.XLOOKUP(テーブル20[[#This Row],[ID]],T!$A:$A,T!$N:$N,"",0)</f>
        <v/>
      </c>
      <c r="I82" s="1" t="str">
        <f>_xlfn.XLOOKUP(_xlfn.XLOOKUP(テーブル20[[#This Row],[ID]],T!$A:$A,T!$AT:$AT,"",0),社員リスト[ユーザID],社員リスト[名前],"",0)</f>
        <v/>
      </c>
      <c r="J82" s="538" t="str">
        <f>_xlfn.XLOOKUP(テーブル20[[#This Row],[ID]],T!$A:$A,T!$I:$I,"",0)</f>
        <v/>
      </c>
      <c r="K82" s="540" t="str">
        <f>_xlfn.XLOOKUP(テーブル20[[#This Row],[ID]],T!$A:$A,T!$AI:$AI,"",0)</f>
        <v/>
      </c>
      <c r="L82" s="71" t="str">
        <f>_xlfn.XLOOKUP(テーブル20[[#This Row],[ID]],T!$A:$A,T!$AN:$AN,"",0)</f>
        <v/>
      </c>
      <c r="M82" s="71" t="str">
        <f>_xlfn.XLOOKUP(テーブル20[[#This Row],[ID]],T!$A:$A,T!$AO:$AO,"",0)</f>
        <v/>
      </c>
    </row>
    <row r="83" spans="1:13">
      <c r="A83">
        <v>70</v>
      </c>
      <c r="B83" s="63"/>
      <c r="D83" s="541" t="str">
        <f>IF(T!A82&lt;&gt;"",HYPERLINK("https://nextoffice.next-hd.co.jp/pleasanter/items/"&amp;T!A82&amp;"/edit","開く"),"")</f>
        <v/>
      </c>
      <c r="E83" s="76">
        <f>T!A82</f>
        <v>0</v>
      </c>
      <c r="F83" s="1" t="str">
        <f>_xlfn.XLOOKUP(_xlfn.XLOOKUP(テーブル20[[#This Row],[ID]],T!$A:$A,T!$AK:$AK,"",0),エリア一覧[ID],エリア一覧[エリア],"",0)</f>
        <v/>
      </c>
      <c r="G83" s="1" t="str">
        <f>_xlfn.XLOOKUP(_xlfn.XLOOKUP(テーブル20[[#This Row],[ID]],T!$A:$A,T!$B:$B,"",0),追変ステータス[ステータスID],追変ステータス[ステータス],"",0)</f>
        <v/>
      </c>
      <c r="H83" t="str">
        <f>_xlfn.XLOOKUP(テーブル20[[#This Row],[ID]],T!$A:$A,T!$N:$N,"",0)</f>
        <v/>
      </c>
      <c r="I83" s="1" t="str">
        <f>_xlfn.XLOOKUP(_xlfn.XLOOKUP(テーブル20[[#This Row],[ID]],T!$A:$A,T!$AT:$AT,"",0),社員リスト[ユーザID],社員リスト[名前],"",0)</f>
        <v/>
      </c>
      <c r="J83" s="538" t="str">
        <f>_xlfn.XLOOKUP(テーブル20[[#This Row],[ID]],T!$A:$A,T!$I:$I,"",0)</f>
        <v/>
      </c>
      <c r="K83" s="540" t="str">
        <f>_xlfn.XLOOKUP(テーブル20[[#This Row],[ID]],T!$A:$A,T!$AI:$AI,"",0)</f>
        <v/>
      </c>
      <c r="L83" s="71" t="str">
        <f>_xlfn.XLOOKUP(テーブル20[[#This Row],[ID]],T!$A:$A,T!$AN:$AN,"",0)</f>
        <v/>
      </c>
      <c r="M83" s="71" t="str">
        <f>_xlfn.XLOOKUP(テーブル20[[#This Row],[ID]],T!$A:$A,T!$AO:$AO,"",0)</f>
        <v/>
      </c>
    </row>
    <row r="84" spans="1:13">
      <c r="A84">
        <v>71</v>
      </c>
      <c r="B84" s="63"/>
      <c r="D84" s="541" t="str">
        <f>IF(T!A83&lt;&gt;"",HYPERLINK("https://nextoffice.next-hd.co.jp/pleasanter/items/"&amp;T!A83&amp;"/edit","開く"),"")</f>
        <v/>
      </c>
      <c r="E84" s="76">
        <f>T!A83</f>
        <v>0</v>
      </c>
      <c r="F84" s="1" t="str">
        <f>_xlfn.XLOOKUP(_xlfn.XLOOKUP(テーブル20[[#This Row],[ID]],T!$A:$A,T!$AK:$AK,"",0),エリア一覧[ID],エリア一覧[エリア],"",0)</f>
        <v/>
      </c>
      <c r="G84" s="1" t="str">
        <f>_xlfn.XLOOKUP(_xlfn.XLOOKUP(テーブル20[[#This Row],[ID]],T!$A:$A,T!$B:$B,"",0),追変ステータス[ステータスID],追変ステータス[ステータス],"",0)</f>
        <v/>
      </c>
      <c r="H84" t="str">
        <f>_xlfn.XLOOKUP(テーブル20[[#This Row],[ID]],T!$A:$A,T!$N:$N,"",0)</f>
        <v/>
      </c>
      <c r="I84" s="1" t="str">
        <f>_xlfn.XLOOKUP(_xlfn.XLOOKUP(テーブル20[[#This Row],[ID]],T!$A:$A,T!$AT:$AT,"",0),社員リスト[ユーザID],社員リスト[名前],"",0)</f>
        <v/>
      </c>
      <c r="J84" s="538" t="str">
        <f>_xlfn.XLOOKUP(テーブル20[[#This Row],[ID]],T!$A:$A,T!$I:$I,"",0)</f>
        <v/>
      </c>
      <c r="K84" s="540" t="str">
        <f>_xlfn.XLOOKUP(テーブル20[[#This Row],[ID]],T!$A:$A,T!$AI:$AI,"",0)</f>
        <v/>
      </c>
      <c r="L84" s="71" t="str">
        <f>_xlfn.XLOOKUP(テーブル20[[#This Row],[ID]],T!$A:$A,T!$AN:$AN,"",0)</f>
        <v/>
      </c>
      <c r="M84" s="71" t="str">
        <f>_xlfn.XLOOKUP(テーブル20[[#This Row],[ID]],T!$A:$A,T!$AO:$AO,"",0)</f>
        <v/>
      </c>
    </row>
    <row r="85" spans="1:13">
      <c r="A85">
        <v>72</v>
      </c>
      <c r="B85" s="63"/>
      <c r="D85" s="541" t="str">
        <f>IF(T!A84&lt;&gt;"",HYPERLINK("https://nextoffice.next-hd.co.jp/pleasanter/items/"&amp;T!A84&amp;"/edit","開く"),"")</f>
        <v/>
      </c>
      <c r="E85" s="76">
        <f>T!A84</f>
        <v>0</v>
      </c>
      <c r="F85" s="1" t="str">
        <f>_xlfn.XLOOKUP(_xlfn.XLOOKUP(テーブル20[[#This Row],[ID]],T!$A:$A,T!$AK:$AK,"",0),エリア一覧[ID],エリア一覧[エリア],"",0)</f>
        <v/>
      </c>
      <c r="G85" s="1" t="str">
        <f>_xlfn.XLOOKUP(_xlfn.XLOOKUP(テーブル20[[#This Row],[ID]],T!$A:$A,T!$B:$B,"",0),追変ステータス[ステータスID],追変ステータス[ステータス],"",0)</f>
        <v/>
      </c>
      <c r="H85" t="str">
        <f>_xlfn.XLOOKUP(テーブル20[[#This Row],[ID]],T!$A:$A,T!$N:$N,"",0)</f>
        <v/>
      </c>
      <c r="I85" s="1" t="str">
        <f>_xlfn.XLOOKUP(_xlfn.XLOOKUP(テーブル20[[#This Row],[ID]],T!$A:$A,T!$AT:$AT,"",0),社員リスト[ユーザID],社員リスト[名前],"",0)</f>
        <v/>
      </c>
      <c r="J85" s="538" t="str">
        <f>_xlfn.XLOOKUP(テーブル20[[#This Row],[ID]],T!$A:$A,T!$I:$I,"",0)</f>
        <v/>
      </c>
      <c r="K85" s="540" t="str">
        <f>_xlfn.XLOOKUP(テーブル20[[#This Row],[ID]],T!$A:$A,T!$AI:$AI,"",0)</f>
        <v/>
      </c>
      <c r="L85" s="71" t="str">
        <f>_xlfn.XLOOKUP(テーブル20[[#This Row],[ID]],T!$A:$A,T!$AN:$AN,"",0)</f>
        <v/>
      </c>
      <c r="M85" s="71" t="str">
        <f>_xlfn.XLOOKUP(テーブル20[[#This Row],[ID]],T!$A:$A,T!$AO:$AO,"",0)</f>
        <v/>
      </c>
    </row>
    <row r="86" spans="1:13">
      <c r="A86">
        <v>73</v>
      </c>
      <c r="B86" s="63"/>
      <c r="D86" s="541" t="str">
        <f>IF(T!A85&lt;&gt;"",HYPERLINK("https://nextoffice.next-hd.co.jp/pleasanter/items/"&amp;T!A85&amp;"/edit","開く"),"")</f>
        <v/>
      </c>
      <c r="E86" s="76">
        <f>T!A85</f>
        <v>0</v>
      </c>
      <c r="F86" s="1" t="str">
        <f>_xlfn.XLOOKUP(_xlfn.XLOOKUP(テーブル20[[#This Row],[ID]],T!$A:$A,T!$AK:$AK,"",0),エリア一覧[ID],エリア一覧[エリア],"",0)</f>
        <v/>
      </c>
      <c r="G86" s="1" t="str">
        <f>_xlfn.XLOOKUP(_xlfn.XLOOKUP(テーブル20[[#This Row],[ID]],T!$A:$A,T!$B:$B,"",0),追変ステータス[ステータスID],追変ステータス[ステータス],"",0)</f>
        <v/>
      </c>
      <c r="H86" t="str">
        <f>_xlfn.XLOOKUP(テーブル20[[#This Row],[ID]],T!$A:$A,T!$N:$N,"",0)</f>
        <v/>
      </c>
      <c r="I86" s="1" t="str">
        <f>_xlfn.XLOOKUP(_xlfn.XLOOKUP(テーブル20[[#This Row],[ID]],T!$A:$A,T!$AT:$AT,"",0),社員リスト[ユーザID],社員リスト[名前],"",0)</f>
        <v/>
      </c>
      <c r="J86" s="538" t="str">
        <f>_xlfn.XLOOKUP(テーブル20[[#This Row],[ID]],T!$A:$A,T!$I:$I,"",0)</f>
        <v/>
      </c>
      <c r="K86" s="540" t="str">
        <f>_xlfn.XLOOKUP(テーブル20[[#This Row],[ID]],T!$A:$A,T!$AI:$AI,"",0)</f>
        <v/>
      </c>
      <c r="L86" s="71" t="str">
        <f>_xlfn.XLOOKUP(テーブル20[[#This Row],[ID]],T!$A:$A,T!$AN:$AN,"",0)</f>
        <v/>
      </c>
      <c r="M86" s="71" t="str">
        <f>_xlfn.XLOOKUP(テーブル20[[#This Row],[ID]],T!$A:$A,T!$AO:$AO,"",0)</f>
        <v/>
      </c>
    </row>
    <row r="87" spans="1:13">
      <c r="A87">
        <v>74</v>
      </c>
      <c r="B87" s="63"/>
      <c r="D87" s="541" t="str">
        <f>IF(T!A86&lt;&gt;"",HYPERLINK("https://nextoffice.next-hd.co.jp/pleasanter/items/"&amp;T!A86&amp;"/edit","開く"),"")</f>
        <v/>
      </c>
      <c r="E87" s="76">
        <f>T!A86</f>
        <v>0</v>
      </c>
      <c r="F87" s="1" t="str">
        <f>_xlfn.XLOOKUP(_xlfn.XLOOKUP(テーブル20[[#This Row],[ID]],T!$A:$A,T!$AK:$AK,"",0),エリア一覧[ID],エリア一覧[エリア],"",0)</f>
        <v/>
      </c>
      <c r="G87" s="1" t="str">
        <f>_xlfn.XLOOKUP(_xlfn.XLOOKUP(テーブル20[[#This Row],[ID]],T!$A:$A,T!$B:$B,"",0),追変ステータス[ステータスID],追変ステータス[ステータス],"",0)</f>
        <v/>
      </c>
      <c r="H87" t="str">
        <f>_xlfn.XLOOKUP(テーブル20[[#This Row],[ID]],T!$A:$A,T!$N:$N,"",0)</f>
        <v/>
      </c>
      <c r="I87" s="1" t="str">
        <f>_xlfn.XLOOKUP(_xlfn.XLOOKUP(テーブル20[[#This Row],[ID]],T!$A:$A,T!$AT:$AT,"",0),社員リスト[ユーザID],社員リスト[名前],"",0)</f>
        <v/>
      </c>
      <c r="J87" s="538" t="str">
        <f>_xlfn.XLOOKUP(テーブル20[[#This Row],[ID]],T!$A:$A,T!$I:$I,"",0)</f>
        <v/>
      </c>
      <c r="K87" s="540" t="str">
        <f>_xlfn.XLOOKUP(テーブル20[[#This Row],[ID]],T!$A:$A,T!$AI:$AI,"",0)</f>
        <v/>
      </c>
      <c r="L87" s="71" t="str">
        <f>_xlfn.XLOOKUP(テーブル20[[#This Row],[ID]],T!$A:$A,T!$AN:$AN,"",0)</f>
        <v/>
      </c>
      <c r="M87" s="71" t="str">
        <f>_xlfn.XLOOKUP(テーブル20[[#This Row],[ID]],T!$A:$A,T!$AO:$AO,"",0)</f>
        <v/>
      </c>
    </row>
    <row r="88" spans="1:13">
      <c r="A88">
        <v>75</v>
      </c>
      <c r="B88" s="63"/>
      <c r="D88" s="541" t="str">
        <f>IF(T!A87&lt;&gt;"",HYPERLINK("https://nextoffice.next-hd.co.jp/pleasanter/items/"&amp;T!A87&amp;"/edit","開く"),"")</f>
        <v/>
      </c>
      <c r="E88" s="76">
        <f>T!A87</f>
        <v>0</v>
      </c>
      <c r="F88" s="1" t="str">
        <f>_xlfn.XLOOKUP(_xlfn.XLOOKUP(テーブル20[[#This Row],[ID]],T!$A:$A,T!$AK:$AK,"",0),エリア一覧[ID],エリア一覧[エリア],"",0)</f>
        <v/>
      </c>
      <c r="G88" s="1" t="str">
        <f>_xlfn.XLOOKUP(_xlfn.XLOOKUP(テーブル20[[#This Row],[ID]],T!$A:$A,T!$B:$B,"",0),追変ステータス[ステータスID],追変ステータス[ステータス],"",0)</f>
        <v/>
      </c>
      <c r="H88" t="str">
        <f>_xlfn.XLOOKUP(テーブル20[[#This Row],[ID]],T!$A:$A,T!$N:$N,"",0)</f>
        <v/>
      </c>
      <c r="I88" s="1" t="str">
        <f>_xlfn.XLOOKUP(_xlfn.XLOOKUP(テーブル20[[#This Row],[ID]],T!$A:$A,T!$AT:$AT,"",0),社員リスト[ユーザID],社員リスト[名前],"",0)</f>
        <v/>
      </c>
      <c r="J88" s="538" t="str">
        <f>_xlfn.XLOOKUP(テーブル20[[#This Row],[ID]],T!$A:$A,T!$I:$I,"",0)</f>
        <v/>
      </c>
      <c r="K88" s="540" t="str">
        <f>_xlfn.XLOOKUP(テーブル20[[#This Row],[ID]],T!$A:$A,T!$AI:$AI,"",0)</f>
        <v/>
      </c>
      <c r="L88" s="71" t="str">
        <f>_xlfn.XLOOKUP(テーブル20[[#This Row],[ID]],T!$A:$A,T!$AN:$AN,"",0)</f>
        <v/>
      </c>
      <c r="M88" s="71" t="str">
        <f>_xlfn.XLOOKUP(テーブル20[[#This Row],[ID]],T!$A:$A,T!$AO:$AO,"",0)</f>
        <v/>
      </c>
    </row>
    <row r="89" spans="1:13">
      <c r="A89">
        <v>76</v>
      </c>
      <c r="B89" s="63"/>
      <c r="D89" s="541" t="str">
        <f>IF(T!A88&lt;&gt;"",HYPERLINK("https://nextoffice.next-hd.co.jp/pleasanter/items/"&amp;T!A88&amp;"/edit","開く"),"")</f>
        <v/>
      </c>
      <c r="E89" s="76">
        <f>T!A88</f>
        <v>0</v>
      </c>
      <c r="F89" s="1" t="str">
        <f>_xlfn.XLOOKUP(_xlfn.XLOOKUP(テーブル20[[#This Row],[ID]],T!$A:$A,T!$AK:$AK,"",0),エリア一覧[ID],エリア一覧[エリア],"",0)</f>
        <v/>
      </c>
      <c r="G89" s="1" t="str">
        <f>_xlfn.XLOOKUP(_xlfn.XLOOKUP(テーブル20[[#This Row],[ID]],T!$A:$A,T!$B:$B,"",0),追変ステータス[ステータスID],追変ステータス[ステータス],"",0)</f>
        <v/>
      </c>
      <c r="H89" t="str">
        <f>_xlfn.XLOOKUP(テーブル20[[#This Row],[ID]],T!$A:$A,T!$N:$N,"",0)</f>
        <v/>
      </c>
      <c r="I89" s="1" t="str">
        <f>_xlfn.XLOOKUP(_xlfn.XLOOKUP(テーブル20[[#This Row],[ID]],T!$A:$A,T!$AT:$AT,"",0),社員リスト[ユーザID],社員リスト[名前],"",0)</f>
        <v/>
      </c>
      <c r="J89" s="538" t="str">
        <f>_xlfn.XLOOKUP(テーブル20[[#This Row],[ID]],T!$A:$A,T!$I:$I,"",0)</f>
        <v/>
      </c>
      <c r="K89" s="540" t="str">
        <f>_xlfn.XLOOKUP(テーブル20[[#This Row],[ID]],T!$A:$A,T!$AI:$AI,"",0)</f>
        <v/>
      </c>
      <c r="L89" s="71" t="str">
        <f>_xlfn.XLOOKUP(テーブル20[[#This Row],[ID]],T!$A:$A,T!$AN:$AN,"",0)</f>
        <v/>
      </c>
      <c r="M89" s="71" t="str">
        <f>_xlfn.XLOOKUP(テーブル20[[#This Row],[ID]],T!$A:$A,T!$AO:$AO,"",0)</f>
        <v/>
      </c>
    </row>
    <row r="90" spans="1:13">
      <c r="A90">
        <v>77</v>
      </c>
      <c r="B90" s="63"/>
      <c r="D90" s="541" t="str">
        <f>IF(T!A89&lt;&gt;"",HYPERLINK("https://nextoffice.next-hd.co.jp/pleasanter/items/"&amp;T!A89&amp;"/edit","開く"),"")</f>
        <v/>
      </c>
      <c r="E90" s="76">
        <f>T!A89</f>
        <v>0</v>
      </c>
      <c r="F90" s="1" t="str">
        <f>_xlfn.XLOOKUP(_xlfn.XLOOKUP(テーブル20[[#This Row],[ID]],T!$A:$A,T!$AK:$AK,"",0),エリア一覧[ID],エリア一覧[エリア],"",0)</f>
        <v/>
      </c>
      <c r="G90" s="1" t="str">
        <f>_xlfn.XLOOKUP(_xlfn.XLOOKUP(テーブル20[[#This Row],[ID]],T!$A:$A,T!$B:$B,"",0),追変ステータス[ステータスID],追変ステータス[ステータス],"",0)</f>
        <v/>
      </c>
      <c r="H90" t="str">
        <f>_xlfn.XLOOKUP(テーブル20[[#This Row],[ID]],T!$A:$A,T!$N:$N,"",0)</f>
        <v/>
      </c>
      <c r="I90" s="1" t="str">
        <f>_xlfn.XLOOKUP(_xlfn.XLOOKUP(テーブル20[[#This Row],[ID]],T!$A:$A,T!$AT:$AT,"",0),社員リスト[ユーザID],社員リスト[名前],"",0)</f>
        <v/>
      </c>
      <c r="J90" s="538" t="str">
        <f>_xlfn.XLOOKUP(テーブル20[[#This Row],[ID]],T!$A:$A,T!$I:$I,"",0)</f>
        <v/>
      </c>
      <c r="K90" s="540" t="str">
        <f>_xlfn.XLOOKUP(テーブル20[[#This Row],[ID]],T!$A:$A,T!$AI:$AI,"",0)</f>
        <v/>
      </c>
      <c r="L90" s="71" t="str">
        <f>_xlfn.XLOOKUP(テーブル20[[#This Row],[ID]],T!$A:$A,T!$AN:$AN,"",0)</f>
        <v/>
      </c>
      <c r="M90" s="71" t="str">
        <f>_xlfn.XLOOKUP(テーブル20[[#This Row],[ID]],T!$A:$A,T!$AO:$AO,"",0)</f>
        <v/>
      </c>
    </row>
    <row r="91" spans="1:13">
      <c r="A91">
        <v>78</v>
      </c>
      <c r="B91" s="63"/>
      <c r="D91" s="541" t="str">
        <f>IF(T!A90&lt;&gt;"",HYPERLINK("https://nextoffice.next-hd.co.jp/pleasanter/items/"&amp;T!A90&amp;"/edit","開く"),"")</f>
        <v/>
      </c>
      <c r="E91" s="76">
        <f>T!A90</f>
        <v>0</v>
      </c>
      <c r="F91" s="1" t="str">
        <f>_xlfn.XLOOKUP(_xlfn.XLOOKUP(テーブル20[[#This Row],[ID]],T!$A:$A,T!$AK:$AK,"",0),エリア一覧[ID],エリア一覧[エリア],"",0)</f>
        <v/>
      </c>
      <c r="G91" s="1" t="str">
        <f>_xlfn.XLOOKUP(_xlfn.XLOOKUP(テーブル20[[#This Row],[ID]],T!$A:$A,T!$B:$B,"",0),追変ステータス[ステータスID],追変ステータス[ステータス],"",0)</f>
        <v/>
      </c>
      <c r="H91" t="str">
        <f>_xlfn.XLOOKUP(テーブル20[[#This Row],[ID]],T!$A:$A,T!$N:$N,"",0)</f>
        <v/>
      </c>
      <c r="I91" s="1" t="str">
        <f>_xlfn.XLOOKUP(_xlfn.XLOOKUP(テーブル20[[#This Row],[ID]],T!$A:$A,T!$AT:$AT,"",0),社員リスト[ユーザID],社員リスト[名前],"",0)</f>
        <v/>
      </c>
      <c r="J91" s="538" t="str">
        <f>_xlfn.XLOOKUP(テーブル20[[#This Row],[ID]],T!$A:$A,T!$I:$I,"",0)</f>
        <v/>
      </c>
      <c r="K91" s="540" t="str">
        <f>_xlfn.XLOOKUP(テーブル20[[#This Row],[ID]],T!$A:$A,T!$AI:$AI,"",0)</f>
        <v/>
      </c>
      <c r="L91" s="71" t="str">
        <f>_xlfn.XLOOKUP(テーブル20[[#This Row],[ID]],T!$A:$A,T!$AN:$AN,"",0)</f>
        <v/>
      </c>
      <c r="M91" s="71" t="str">
        <f>_xlfn.XLOOKUP(テーブル20[[#This Row],[ID]],T!$A:$A,T!$AO:$AO,"",0)</f>
        <v/>
      </c>
    </row>
    <row r="92" spans="1:13">
      <c r="A92">
        <v>79</v>
      </c>
      <c r="B92" s="63"/>
      <c r="D92" s="541" t="str">
        <f>IF(T!A91&lt;&gt;"",HYPERLINK("https://nextoffice.next-hd.co.jp/pleasanter/items/"&amp;T!A91&amp;"/edit","開く"),"")</f>
        <v/>
      </c>
      <c r="E92" s="76">
        <f>T!A91</f>
        <v>0</v>
      </c>
      <c r="F92" s="1" t="str">
        <f>_xlfn.XLOOKUP(_xlfn.XLOOKUP(テーブル20[[#This Row],[ID]],T!$A:$A,T!$AK:$AK,"",0),エリア一覧[ID],エリア一覧[エリア],"",0)</f>
        <v/>
      </c>
      <c r="G92" s="1" t="str">
        <f>_xlfn.XLOOKUP(_xlfn.XLOOKUP(テーブル20[[#This Row],[ID]],T!$A:$A,T!$B:$B,"",0),追変ステータス[ステータスID],追変ステータス[ステータス],"",0)</f>
        <v/>
      </c>
      <c r="H92" t="str">
        <f>_xlfn.XLOOKUP(テーブル20[[#This Row],[ID]],T!$A:$A,T!$N:$N,"",0)</f>
        <v/>
      </c>
      <c r="I92" s="1" t="str">
        <f>_xlfn.XLOOKUP(_xlfn.XLOOKUP(テーブル20[[#This Row],[ID]],T!$A:$A,T!$AT:$AT,"",0),社員リスト[ユーザID],社員リスト[名前],"",0)</f>
        <v/>
      </c>
      <c r="J92" s="538" t="str">
        <f>_xlfn.XLOOKUP(テーブル20[[#This Row],[ID]],T!$A:$A,T!$I:$I,"",0)</f>
        <v/>
      </c>
      <c r="K92" s="540" t="str">
        <f>_xlfn.XLOOKUP(テーブル20[[#This Row],[ID]],T!$A:$A,T!$AI:$AI,"",0)</f>
        <v/>
      </c>
      <c r="L92" s="71" t="str">
        <f>_xlfn.XLOOKUP(テーブル20[[#This Row],[ID]],T!$A:$A,T!$AN:$AN,"",0)</f>
        <v/>
      </c>
      <c r="M92" s="71" t="str">
        <f>_xlfn.XLOOKUP(テーブル20[[#This Row],[ID]],T!$A:$A,T!$AO:$AO,"",0)</f>
        <v/>
      </c>
    </row>
    <row r="93" spans="1:13">
      <c r="A93">
        <v>80</v>
      </c>
      <c r="B93" s="63"/>
      <c r="D93" s="541" t="str">
        <f>IF(T!A92&lt;&gt;"",HYPERLINK("https://nextoffice.next-hd.co.jp/pleasanter/items/"&amp;T!A92&amp;"/edit","開く"),"")</f>
        <v/>
      </c>
      <c r="E93" s="76">
        <f>T!A92</f>
        <v>0</v>
      </c>
      <c r="F93" s="1" t="str">
        <f>_xlfn.XLOOKUP(_xlfn.XLOOKUP(テーブル20[[#This Row],[ID]],T!$A:$A,T!$AK:$AK,"",0),エリア一覧[ID],エリア一覧[エリア],"",0)</f>
        <v/>
      </c>
      <c r="G93" s="1" t="str">
        <f>_xlfn.XLOOKUP(_xlfn.XLOOKUP(テーブル20[[#This Row],[ID]],T!$A:$A,T!$B:$B,"",0),追変ステータス[ステータスID],追変ステータス[ステータス],"",0)</f>
        <v/>
      </c>
      <c r="H93" t="str">
        <f>_xlfn.XLOOKUP(テーブル20[[#This Row],[ID]],T!$A:$A,T!$N:$N,"",0)</f>
        <v/>
      </c>
      <c r="I93" s="1" t="str">
        <f>_xlfn.XLOOKUP(_xlfn.XLOOKUP(テーブル20[[#This Row],[ID]],T!$A:$A,T!$AT:$AT,"",0),社員リスト[ユーザID],社員リスト[名前],"",0)</f>
        <v/>
      </c>
      <c r="J93" s="538" t="str">
        <f>_xlfn.XLOOKUP(テーブル20[[#This Row],[ID]],T!$A:$A,T!$I:$I,"",0)</f>
        <v/>
      </c>
      <c r="K93" s="540" t="str">
        <f>_xlfn.XLOOKUP(テーブル20[[#This Row],[ID]],T!$A:$A,T!$AI:$AI,"",0)</f>
        <v/>
      </c>
      <c r="L93" s="71" t="str">
        <f>_xlfn.XLOOKUP(テーブル20[[#This Row],[ID]],T!$A:$A,T!$AN:$AN,"",0)</f>
        <v/>
      </c>
      <c r="M93" s="71" t="str">
        <f>_xlfn.XLOOKUP(テーブル20[[#This Row],[ID]],T!$A:$A,T!$AO:$AO,"",0)</f>
        <v/>
      </c>
    </row>
    <row r="94" spans="1:13">
      <c r="A94">
        <v>81</v>
      </c>
      <c r="B94" s="63"/>
      <c r="D94" s="541" t="str">
        <f>IF(T!A93&lt;&gt;"",HYPERLINK("https://nextoffice.next-hd.co.jp/pleasanter/items/"&amp;T!A93&amp;"/edit","開く"),"")</f>
        <v/>
      </c>
      <c r="E94" s="76">
        <f>T!A93</f>
        <v>0</v>
      </c>
      <c r="F94" s="1" t="str">
        <f>_xlfn.XLOOKUP(_xlfn.XLOOKUP(テーブル20[[#This Row],[ID]],T!$A:$A,T!$AK:$AK,"",0),エリア一覧[ID],エリア一覧[エリア],"",0)</f>
        <v/>
      </c>
      <c r="G94" s="1" t="str">
        <f>_xlfn.XLOOKUP(_xlfn.XLOOKUP(テーブル20[[#This Row],[ID]],T!$A:$A,T!$B:$B,"",0),追変ステータス[ステータスID],追変ステータス[ステータス],"",0)</f>
        <v/>
      </c>
      <c r="H94" t="str">
        <f>_xlfn.XLOOKUP(テーブル20[[#This Row],[ID]],T!$A:$A,T!$N:$N,"",0)</f>
        <v/>
      </c>
      <c r="I94" s="1" t="str">
        <f>_xlfn.XLOOKUP(_xlfn.XLOOKUP(テーブル20[[#This Row],[ID]],T!$A:$A,T!$AT:$AT,"",0),社員リスト[ユーザID],社員リスト[名前],"",0)</f>
        <v/>
      </c>
      <c r="J94" s="538" t="str">
        <f>_xlfn.XLOOKUP(テーブル20[[#This Row],[ID]],T!$A:$A,T!$I:$I,"",0)</f>
        <v/>
      </c>
      <c r="K94" s="540" t="str">
        <f>_xlfn.XLOOKUP(テーブル20[[#This Row],[ID]],T!$A:$A,T!$AI:$AI,"",0)</f>
        <v/>
      </c>
      <c r="L94" s="71" t="str">
        <f>_xlfn.XLOOKUP(テーブル20[[#This Row],[ID]],T!$A:$A,T!$AN:$AN,"",0)</f>
        <v/>
      </c>
      <c r="M94" s="71" t="str">
        <f>_xlfn.XLOOKUP(テーブル20[[#This Row],[ID]],T!$A:$A,T!$AO:$AO,"",0)</f>
        <v/>
      </c>
    </row>
    <row r="95" spans="1:13">
      <c r="A95">
        <v>82</v>
      </c>
      <c r="B95" s="63"/>
      <c r="D95" s="541" t="str">
        <f>IF(T!A94&lt;&gt;"",HYPERLINK("https://nextoffice.next-hd.co.jp/pleasanter/items/"&amp;T!A94&amp;"/edit","開く"),"")</f>
        <v/>
      </c>
      <c r="E95" s="76">
        <f>T!A94</f>
        <v>0</v>
      </c>
      <c r="F95" s="1" t="str">
        <f>_xlfn.XLOOKUP(_xlfn.XLOOKUP(テーブル20[[#This Row],[ID]],T!$A:$A,T!$AK:$AK,"",0),エリア一覧[ID],エリア一覧[エリア],"",0)</f>
        <v/>
      </c>
      <c r="G95" s="1" t="str">
        <f>_xlfn.XLOOKUP(_xlfn.XLOOKUP(テーブル20[[#This Row],[ID]],T!$A:$A,T!$B:$B,"",0),追変ステータス[ステータスID],追変ステータス[ステータス],"",0)</f>
        <v/>
      </c>
      <c r="H95" t="str">
        <f>_xlfn.XLOOKUP(テーブル20[[#This Row],[ID]],T!$A:$A,T!$N:$N,"",0)</f>
        <v/>
      </c>
      <c r="I95" s="1" t="str">
        <f>_xlfn.XLOOKUP(_xlfn.XLOOKUP(テーブル20[[#This Row],[ID]],T!$A:$A,T!$AT:$AT,"",0),社員リスト[ユーザID],社員リスト[名前],"",0)</f>
        <v/>
      </c>
      <c r="J95" s="538" t="str">
        <f>_xlfn.XLOOKUP(テーブル20[[#This Row],[ID]],T!$A:$A,T!$I:$I,"",0)</f>
        <v/>
      </c>
      <c r="K95" s="540" t="str">
        <f>_xlfn.XLOOKUP(テーブル20[[#This Row],[ID]],T!$A:$A,T!$AI:$AI,"",0)</f>
        <v/>
      </c>
      <c r="L95" s="71" t="str">
        <f>_xlfn.XLOOKUP(テーブル20[[#This Row],[ID]],T!$A:$A,T!$AN:$AN,"",0)</f>
        <v/>
      </c>
      <c r="M95" s="71" t="str">
        <f>_xlfn.XLOOKUP(テーブル20[[#This Row],[ID]],T!$A:$A,T!$AO:$AO,"",0)</f>
        <v/>
      </c>
    </row>
    <row r="96" spans="1:13">
      <c r="A96">
        <v>83</v>
      </c>
      <c r="B96" s="63"/>
      <c r="D96" s="541" t="str">
        <f>IF(T!A95&lt;&gt;"",HYPERLINK("https://nextoffice.next-hd.co.jp/pleasanter/items/"&amp;T!A95&amp;"/edit","開く"),"")</f>
        <v/>
      </c>
      <c r="E96" s="76">
        <f>T!A95</f>
        <v>0</v>
      </c>
      <c r="F96" s="1" t="str">
        <f>_xlfn.XLOOKUP(_xlfn.XLOOKUP(テーブル20[[#This Row],[ID]],T!$A:$A,T!$AK:$AK,"",0),エリア一覧[ID],エリア一覧[エリア],"",0)</f>
        <v/>
      </c>
      <c r="G96" s="1" t="str">
        <f>_xlfn.XLOOKUP(_xlfn.XLOOKUP(テーブル20[[#This Row],[ID]],T!$A:$A,T!$B:$B,"",0),追変ステータス[ステータスID],追変ステータス[ステータス],"",0)</f>
        <v/>
      </c>
      <c r="H96" t="str">
        <f>_xlfn.XLOOKUP(テーブル20[[#This Row],[ID]],T!$A:$A,T!$N:$N,"",0)</f>
        <v/>
      </c>
      <c r="I96" s="1" t="str">
        <f>_xlfn.XLOOKUP(_xlfn.XLOOKUP(テーブル20[[#This Row],[ID]],T!$A:$A,T!$AT:$AT,"",0),社員リスト[ユーザID],社員リスト[名前],"",0)</f>
        <v/>
      </c>
      <c r="J96" s="538" t="str">
        <f>_xlfn.XLOOKUP(テーブル20[[#This Row],[ID]],T!$A:$A,T!$I:$I,"",0)</f>
        <v/>
      </c>
      <c r="K96" s="540" t="str">
        <f>_xlfn.XLOOKUP(テーブル20[[#This Row],[ID]],T!$A:$A,T!$AI:$AI,"",0)</f>
        <v/>
      </c>
      <c r="L96" s="71" t="str">
        <f>_xlfn.XLOOKUP(テーブル20[[#This Row],[ID]],T!$A:$A,T!$AN:$AN,"",0)</f>
        <v/>
      </c>
      <c r="M96" s="71" t="str">
        <f>_xlfn.XLOOKUP(テーブル20[[#This Row],[ID]],T!$A:$A,T!$AO:$AO,"",0)</f>
        <v/>
      </c>
    </row>
    <row r="97" spans="1:13">
      <c r="A97">
        <v>84</v>
      </c>
      <c r="B97" s="63"/>
      <c r="D97" s="541" t="str">
        <f>IF(T!A96&lt;&gt;"",HYPERLINK("https://nextoffice.next-hd.co.jp/pleasanter/items/"&amp;T!A96&amp;"/edit","開く"),"")</f>
        <v/>
      </c>
      <c r="E97" s="76">
        <f>T!A96</f>
        <v>0</v>
      </c>
      <c r="F97" s="1" t="str">
        <f>_xlfn.XLOOKUP(_xlfn.XLOOKUP(テーブル20[[#This Row],[ID]],T!$A:$A,T!$AK:$AK,"",0),エリア一覧[ID],エリア一覧[エリア],"",0)</f>
        <v/>
      </c>
      <c r="G97" s="1" t="str">
        <f>_xlfn.XLOOKUP(_xlfn.XLOOKUP(テーブル20[[#This Row],[ID]],T!$A:$A,T!$B:$B,"",0),追変ステータス[ステータスID],追変ステータス[ステータス],"",0)</f>
        <v/>
      </c>
      <c r="H97" t="str">
        <f>_xlfn.XLOOKUP(テーブル20[[#This Row],[ID]],T!$A:$A,T!$N:$N,"",0)</f>
        <v/>
      </c>
      <c r="I97" s="1" t="str">
        <f>_xlfn.XLOOKUP(_xlfn.XLOOKUP(テーブル20[[#This Row],[ID]],T!$A:$A,T!$AT:$AT,"",0),社員リスト[ユーザID],社員リスト[名前],"",0)</f>
        <v/>
      </c>
      <c r="J97" s="538" t="str">
        <f>_xlfn.XLOOKUP(テーブル20[[#This Row],[ID]],T!$A:$A,T!$I:$I,"",0)</f>
        <v/>
      </c>
      <c r="K97" s="540" t="str">
        <f>_xlfn.XLOOKUP(テーブル20[[#This Row],[ID]],T!$A:$A,T!$AI:$AI,"",0)</f>
        <v/>
      </c>
      <c r="L97" s="71" t="str">
        <f>_xlfn.XLOOKUP(テーブル20[[#This Row],[ID]],T!$A:$A,T!$AN:$AN,"",0)</f>
        <v/>
      </c>
      <c r="M97" s="71" t="str">
        <f>_xlfn.XLOOKUP(テーブル20[[#This Row],[ID]],T!$A:$A,T!$AO:$AO,"",0)</f>
        <v/>
      </c>
    </row>
    <row r="98" spans="1:13">
      <c r="A98">
        <v>85</v>
      </c>
      <c r="B98" s="63"/>
      <c r="D98" s="541" t="str">
        <f>IF(T!A97&lt;&gt;"",HYPERLINK("https://nextoffice.next-hd.co.jp/pleasanter/items/"&amp;T!A97&amp;"/edit","開く"),"")</f>
        <v/>
      </c>
      <c r="E98" s="76">
        <f>T!A97</f>
        <v>0</v>
      </c>
      <c r="F98" s="1" t="str">
        <f>_xlfn.XLOOKUP(_xlfn.XLOOKUP(テーブル20[[#This Row],[ID]],T!$A:$A,T!$AK:$AK,"",0),エリア一覧[ID],エリア一覧[エリア],"",0)</f>
        <v/>
      </c>
      <c r="G98" s="1" t="str">
        <f>_xlfn.XLOOKUP(_xlfn.XLOOKUP(テーブル20[[#This Row],[ID]],T!$A:$A,T!$B:$B,"",0),追変ステータス[ステータスID],追変ステータス[ステータス],"",0)</f>
        <v/>
      </c>
      <c r="H98" t="str">
        <f>_xlfn.XLOOKUP(テーブル20[[#This Row],[ID]],T!$A:$A,T!$N:$N,"",0)</f>
        <v/>
      </c>
      <c r="I98" s="1" t="str">
        <f>_xlfn.XLOOKUP(_xlfn.XLOOKUP(テーブル20[[#This Row],[ID]],T!$A:$A,T!$AT:$AT,"",0),社員リスト[ユーザID],社員リスト[名前],"",0)</f>
        <v/>
      </c>
      <c r="J98" s="538" t="str">
        <f>_xlfn.XLOOKUP(テーブル20[[#This Row],[ID]],T!$A:$A,T!$I:$I,"",0)</f>
        <v/>
      </c>
      <c r="K98" s="540" t="str">
        <f>_xlfn.XLOOKUP(テーブル20[[#This Row],[ID]],T!$A:$A,T!$AI:$AI,"",0)</f>
        <v/>
      </c>
      <c r="L98" s="71" t="str">
        <f>_xlfn.XLOOKUP(テーブル20[[#This Row],[ID]],T!$A:$A,T!$AN:$AN,"",0)</f>
        <v/>
      </c>
      <c r="M98" s="71" t="str">
        <f>_xlfn.XLOOKUP(テーブル20[[#This Row],[ID]],T!$A:$A,T!$AO:$AO,"",0)</f>
        <v/>
      </c>
    </row>
    <row r="99" spans="1:13">
      <c r="A99">
        <v>86</v>
      </c>
      <c r="B99" s="63"/>
      <c r="D99" s="541" t="str">
        <f>IF(T!A98&lt;&gt;"",HYPERLINK("https://nextoffice.next-hd.co.jp/pleasanter/items/"&amp;T!A98&amp;"/edit","開く"),"")</f>
        <v/>
      </c>
      <c r="E99" s="76">
        <f>T!A98</f>
        <v>0</v>
      </c>
      <c r="F99" s="1" t="str">
        <f>_xlfn.XLOOKUP(_xlfn.XLOOKUP(テーブル20[[#This Row],[ID]],T!$A:$A,T!$AK:$AK,"",0),エリア一覧[ID],エリア一覧[エリア],"",0)</f>
        <v/>
      </c>
      <c r="G99" s="1" t="str">
        <f>_xlfn.XLOOKUP(_xlfn.XLOOKUP(テーブル20[[#This Row],[ID]],T!$A:$A,T!$B:$B,"",0),追変ステータス[ステータスID],追変ステータス[ステータス],"",0)</f>
        <v/>
      </c>
      <c r="H99" t="str">
        <f>_xlfn.XLOOKUP(テーブル20[[#This Row],[ID]],T!$A:$A,T!$N:$N,"",0)</f>
        <v/>
      </c>
      <c r="I99" s="1" t="str">
        <f>_xlfn.XLOOKUP(_xlfn.XLOOKUP(テーブル20[[#This Row],[ID]],T!$A:$A,T!$AT:$AT,"",0),社員リスト[ユーザID],社員リスト[名前],"",0)</f>
        <v/>
      </c>
      <c r="J99" s="538" t="str">
        <f>_xlfn.XLOOKUP(テーブル20[[#This Row],[ID]],T!$A:$A,T!$I:$I,"",0)</f>
        <v/>
      </c>
      <c r="K99" s="540" t="str">
        <f>_xlfn.XLOOKUP(テーブル20[[#This Row],[ID]],T!$A:$A,T!$AI:$AI,"",0)</f>
        <v/>
      </c>
      <c r="L99" s="71" t="str">
        <f>_xlfn.XLOOKUP(テーブル20[[#This Row],[ID]],T!$A:$A,T!$AN:$AN,"",0)</f>
        <v/>
      </c>
      <c r="M99" s="71" t="str">
        <f>_xlfn.XLOOKUP(テーブル20[[#This Row],[ID]],T!$A:$A,T!$AO:$AO,"",0)</f>
        <v/>
      </c>
    </row>
    <row r="100" spans="1:13">
      <c r="A100">
        <v>87</v>
      </c>
      <c r="B100" s="63"/>
      <c r="D100" s="541" t="str">
        <f>IF(T!A99&lt;&gt;"",HYPERLINK("https://nextoffice.next-hd.co.jp/pleasanter/items/"&amp;T!A99&amp;"/edit","開く"),"")</f>
        <v/>
      </c>
      <c r="E100" s="76">
        <f>T!A99</f>
        <v>0</v>
      </c>
      <c r="F100" s="1" t="str">
        <f>_xlfn.XLOOKUP(_xlfn.XLOOKUP(テーブル20[[#This Row],[ID]],T!$A:$A,T!$AK:$AK,"",0),エリア一覧[ID],エリア一覧[エリア],"",0)</f>
        <v/>
      </c>
      <c r="G100" s="1" t="str">
        <f>_xlfn.XLOOKUP(_xlfn.XLOOKUP(テーブル20[[#This Row],[ID]],T!$A:$A,T!$B:$B,"",0),追変ステータス[ステータスID],追変ステータス[ステータス],"",0)</f>
        <v/>
      </c>
      <c r="H100" t="str">
        <f>_xlfn.XLOOKUP(テーブル20[[#This Row],[ID]],T!$A:$A,T!$N:$N,"",0)</f>
        <v/>
      </c>
      <c r="I100" s="1" t="str">
        <f>_xlfn.XLOOKUP(_xlfn.XLOOKUP(テーブル20[[#This Row],[ID]],T!$A:$A,T!$AT:$AT,"",0),社員リスト[ユーザID],社員リスト[名前],"",0)</f>
        <v/>
      </c>
      <c r="J100" s="538" t="str">
        <f>_xlfn.XLOOKUP(テーブル20[[#This Row],[ID]],T!$A:$A,T!$I:$I,"",0)</f>
        <v/>
      </c>
      <c r="K100" s="540" t="str">
        <f>_xlfn.XLOOKUP(テーブル20[[#This Row],[ID]],T!$A:$A,T!$AI:$AI,"",0)</f>
        <v/>
      </c>
      <c r="L100" s="71" t="str">
        <f>_xlfn.XLOOKUP(テーブル20[[#This Row],[ID]],T!$A:$A,T!$AN:$AN,"",0)</f>
        <v/>
      </c>
      <c r="M100" s="71" t="str">
        <f>_xlfn.XLOOKUP(テーブル20[[#This Row],[ID]],T!$A:$A,T!$AO:$AO,"",0)</f>
        <v/>
      </c>
    </row>
    <row r="101" spans="1:13">
      <c r="A101">
        <v>88</v>
      </c>
      <c r="B101" s="63"/>
      <c r="D101" s="541" t="str">
        <f>IF(T!A100&lt;&gt;"",HYPERLINK("https://nextoffice.next-hd.co.jp/pleasanter/items/"&amp;T!A100&amp;"/edit","開く"),"")</f>
        <v/>
      </c>
      <c r="E101" s="76">
        <f>T!A100</f>
        <v>0</v>
      </c>
      <c r="F101" s="1" t="str">
        <f>_xlfn.XLOOKUP(_xlfn.XLOOKUP(テーブル20[[#This Row],[ID]],T!$A:$A,T!$AK:$AK,"",0),エリア一覧[ID],エリア一覧[エリア],"",0)</f>
        <v/>
      </c>
      <c r="G101" s="1" t="str">
        <f>_xlfn.XLOOKUP(_xlfn.XLOOKUP(テーブル20[[#This Row],[ID]],T!$A:$A,T!$B:$B,"",0),追変ステータス[ステータスID],追変ステータス[ステータス],"",0)</f>
        <v/>
      </c>
      <c r="H101" t="str">
        <f>_xlfn.XLOOKUP(テーブル20[[#This Row],[ID]],T!$A:$A,T!$N:$N,"",0)</f>
        <v/>
      </c>
      <c r="I101" s="1" t="str">
        <f>_xlfn.XLOOKUP(_xlfn.XLOOKUP(テーブル20[[#This Row],[ID]],T!$A:$A,T!$AT:$AT,"",0),社員リスト[ユーザID],社員リスト[名前],"",0)</f>
        <v/>
      </c>
      <c r="J101" s="538" t="str">
        <f>_xlfn.XLOOKUP(テーブル20[[#This Row],[ID]],T!$A:$A,T!$I:$I,"",0)</f>
        <v/>
      </c>
      <c r="K101" s="540" t="str">
        <f>_xlfn.XLOOKUP(テーブル20[[#This Row],[ID]],T!$A:$A,T!$AI:$AI,"",0)</f>
        <v/>
      </c>
      <c r="L101" s="71" t="str">
        <f>_xlfn.XLOOKUP(テーブル20[[#This Row],[ID]],T!$A:$A,T!$AN:$AN,"",0)</f>
        <v/>
      </c>
      <c r="M101" s="71" t="str">
        <f>_xlfn.XLOOKUP(テーブル20[[#This Row],[ID]],T!$A:$A,T!$AO:$AO,"",0)</f>
        <v/>
      </c>
    </row>
    <row r="102" spans="1:13">
      <c r="A102">
        <v>89</v>
      </c>
      <c r="B102" s="63"/>
      <c r="D102" s="541" t="str">
        <f>IF(T!A101&lt;&gt;"",HYPERLINK("https://nextoffice.next-hd.co.jp/pleasanter/items/"&amp;T!A101&amp;"/edit","開く"),"")</f>
        <v/>
      </c>
      <c r="E102" s="76">
        <f>T!A101</f>
        <v>0</v>
      </c>
      <c r="F102" s="1" t="str">
        <f>_xlfn.XLOOKUP(_xlfn.XLOOKUP(テーブル20[[#This Row],[ID]],T!$A:$A,T!$AK:$AK,"",0),エリア一覧[ID],エリア一覧[エリア],"",0)</f>
        <v/>
      </c>
      <c r="G102" s="1" t="str">
        <f>_xlfn.XLOOKUP(_xlfn.XLOOKUP(テーブル20[[#This Row],[ID]],T!$A:$A,T!$B:$B,"",0),追変ステータス[ステータスID],追変ステータス[ステータス],"",0)</f>
        <v/>
      </c>
      <c r="H102" t="str">
        <f>_xlfn.XLOOKUP(テーブル20[[#This Row],[ID]],T!$A:$A,T!$N:$N,"",0)</f>
        <v/>
      </c>
      <c r="I102" s="1" t="str">
        <f>_xlfn.XLOOKUP(_xlfn.XLOOKUP(テーブル20[[#This Row],[ID]],T!$A:$A,T!$AT:$AT,"",0),社員リスト[ユーザID],社員リスト[名前],"",0)</f>
        <v/>
      </c>
      <c r="J102" s="538" t="str">
        <f>_xlfn.XLOOKUP(テーブル20[[#This Row],[ID]],T!$A:$A,T!$I:$I,"",0)</f>
        <v/>
      </c>
      <c r="K102" s="540" t="str">
        <f>_xlfn.XLOOKUP(テーブル20[[#This Row],[ID]],T!$A:$A,T!$AI:$AI,"",0)</f>
        <v/>
      </c>
      <c r="L102" s="71" t="str">
        <f>_xlfn.XLOOKUP(テーブル20[[#This Row],[ID]],T!$A:$A,T!$AN:$AN,"",0)</f>
        <v/>
      </c>
      <c r="M102" s="71" t="str">
        <f>_xlfn.XLOOKUP(テーブル20[[#This Row],[ID]],T!$A:$A,T!$AO:$AO,"",0)</f>
        <v/>
      </c>
    </row>
    <row r="103" spans="1:13">
      <c r="A103">
        <v>90</v>
      </c>
      <c r="B103" s="63"/>
    </row>
    <row r="104" spans="1:13">
      <c r="A104">
        <v>91</v>
      </c>
      <c r="B104" s="63"/>
    </row>
    <row r="105" spans="1:13">
      <c r="A105">
        <v>92</v>
      </c>
      <c r="B105" s="63"/>
    </row>
    <row r="106" spans="1:13">
      <c r="A106">
        <v>93</v>
      </c>
      <c r="B106" s="63"/>
    </row>
    <row r="107" spans="1:13">
      <c r="A107">
        <v>94</v>
      </c>
      <c r="B107" s="63"/>
    </row>
    <row r="108" spans="1:13">
      <c r="A108">
        <v>95</v>
      </c>
      <c r="B108" s="63"/>
    </row>
    <row r="109" spans="1:13">
      <c r="A109">
        <v>96</v>
      </c>
      <c r="B109" s="63"/>
    </row>
    <row r="110" spans="1:13">
      <c r="A110">
        <v>97</v>
      </c>
      <c r="B110" s="63"/>
    </row>
    <row r="111" spans="1:13">
      <c r="A111">
        <v>98</v>
      </c>
      <c r="B111" s="63"/>
    </row>
    <row r="112" spans="1:13">
      <c r="A112">
        <v>99</v>
      </c>
      <c r="B112" s="63"/>
    </row>
    <row r="113" spans="1:2">
      <c r="A113">
        <v>100</v>
      </c>
      <c r="B113" s="63"/>
    </row>
  </sheetData>
  <phoneticPr fontId="1"/>
  <conditionalFormatting sqref="G3:G102">
    <cfRule type="containsText" dxfId="136" priority="1" operator="containsText" text="[追変]取消">
      <formula>NOT(ISERROR(SEARCH("[追変]取消",G3)))</formula>
    </cfRule>
    <cfRule type="containsText" dxfId="135" priority="2" operator="containsText" text="[追変]承認済">
      <formula>NOT(ISERROR(SEARCH("[追変]承認済",G3)))</formula>
    </cfRule>
    <cfRule type="containsText" dxfId="134" priority="3" operator="containsText" text="[追変]新規申請">
      <formula>NOT(ISERROR(SEARCH("[追変]新規申請",G3)))</formula>
    </cfRule>
    <cfRule type="containsText" dxfId="133" priority="4" operator="containsText" text="[追変]差戻し">
      <formula>NOT(ISERROR(SEARCH("[追変]差戻し",G3)))</formula>
    </cfRule>
    <cfRule type="containsText" dxfId="132" priority="5" operator="containsText" text="[追変]新規作成">
      <formula>NOT(ISERROR(SEARCH("[追変]新規作成",G3)))</formula>
    </cfRule>
  </conditionalFormatting>
  <pageMargins left="0.7" right="0.7" top="0.75" bottom="0.75" header="0.3" footer="0.3"/>
  <drawing r:id="rId1"/>
  <legacyDrawing r:id="rId2"/>
  <mc:AlternateContent xmlns:mc="http://schemas.openxmlformats.org/markup-compatibility/2006">
    <mc:Choice Requires="x14">
      <controls>
        <mc:AlternateContent xmlns:mc="http://schemas.openxmlformats.org/markup-compatibility/2006">
          <mc:Choice Requires="x14">
            <control shapeId="26626" r:id="rId3" name="Button 2">
              <controlPr defaultSize="0" print="0" autoFill="0" autoPict="0" macro="[0]!getTsuihenFiles">
                <anchor moveWithCells="1" sizeWithCells="1">
                  <from>
                    <xdr:col>0</xdr:col>
                    <xdr:colOff>314325</xdr:colOff>
                    <xdr:row>5</xdr:row>
                    <xdr:rowOff>200025</xdr:rowOff>
                  </from>
                  <to>
                    <xdr:col>2</xdr:col>
                    <xdr:colOff>28575</xdr:colOff>
                    <xdr:row>7</xdr:row>
                    <xdr:rowOff>257175</xdr:rowOff>
                  </to>
                </anchor>
              </controlPr>
            </control>
          </mc:Choice>
        </mc:AlternateContent>
        <mc:AlternateContent xmlns:mc="http://schemas.openxmlformats.org/markup-compatibility/2006">
          <mc:Choice Requires="x14">
            <control shapeId="26627" r:id="rId4" name="Button 3">
              <controlPr defaultSize="0" print="0" autoFill="0" autoPict="0" macro="[0]!getAllTsuihenList">
                <anchor moveWithCells="1" sizeWithCells="1">
                  <from>
                    <xdr:col>1</xdr:col>
                    <xdr:colOff>257175</xdr:colOff>
                    <xdr:row>0</xdr:row>
                    <xdr:rowOff>381000</xdr:rowOff>
                  </from>
                  <to>
                    <xdr:col>1</xdr:col>
                    <xdr:colOff>3209925</xdr:colOff>
                    <xdr:row>3</xdr:row>
                    <xdr:rowOff>19050</xdr:rowOff>
                  </to>
                </anchor>
              </controlPr>
            </control>
          </mc:Choice>
        </mc:AlternateContent>
      </controls>
    </mc:Choice>
  </mc:AlternateContent>
  <tableParts count="1">
    <tablePart r:id="rId5"/>
  </tableParts>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834B349-307D-439D-B0A8-8318C5DED584}">
  <sheetPr codeName="Sheet3">
    <tabColor theme="1"/>
  </sheetPr>
  <dimension ref="A1:AA227"/>
  <sheetViews>
    <sheetView topLeftCell="A24" workbookViewId="0">
      <selection activeCell="H54" sqref="H54"/>
    </sheetView>
  </sheetViews>
  <sheetFormatPr defaultColWidth="6.75" defaultRowHeight="15.75" customHeight="1"/>
  <cols>
    <col min="1" max="1" width="2.5" style="4" bestFit="1" customWidth="1"/>
    <col min="2" max="2" width="10.375" style="16" bestFit="1" customWidth="1"/>
    <col min="3" max="3" width="18" style="4" customWidth="1"/>
    <col min="4" max="4" width="27.25" style="4" customWidth="1"/>
    <col min="5" max="5" width="10.125" style="16" bestFit="1" customWidth="1"/>
    <col min="6" max="6" width="18" style="4" bestFit="1" customWidth="1"/>
    <col min="7" max="7" width="23.875" style="9" customWidth="1"/>
    <col min="8" max="8" width="9.875" style="16" bestFit="1" customWidth="1"/>
    <col min="9" max="9" width="18.5" style="4" bestFit="1" customWidth="1"/>
    <col min="10" max="10" width="23.875" style="11" customWidth="1"/>
    <col min="11" max="11" width="17" style="16" bestFit="1" customWidth="1"/>
    <col min="12" max="12" width="25.125" style="4" bestFit="1" customWidth="1"/>
    <col min="13" max="13" width="23.875" style="4" customWidth="1"/>
    <col min="14" max="14" width="11.25" style="16" bestFit="1" customWidth="1"/>
    <col min="15" max="15" width="13" style="4" bestFit="1" customWidth="1"/>
    <col min="16" max="16" width="23.875" style="4" customWidth="1"/>
    <col min="17" max="17" width="18.125" style="16" hidden="1" customWidth="1"/>
    <col min="18" max="18" width="29.875" style="4" hidden="1" customWidth="1"/>
    <col min="19" max="19" width="23.875" style="4" hidden="1" customWidth="1"/>
    <col min="20" max="25" width="6.75" style="4"/>
    <col min="26" max="26" width="12.5" style="4" bestFit="1" customWidth="1"/>
    <col min="27" max="27" width="27.375" style="4" customWidth="1"/>
    <col min="28" max="16384" width="6.75" style="4"/>
  </cols>
  <sheetData>
    <row r="1" spans="1:27" s="5" customFormat="1" ht="15.75" customHeight="1">
      <c r="A1" s="5">
        <f>COLUMN()</f>
        <v>1</v>
      </c>
      <c r="B1" s="5">
        <f>COLUMN()</f>
        <v>2</v>
      </c>
      <c r="C1" s="5">
        <f>COLUMN()</f>
        <v>3</v>
      </c>
      <c r="E1" s="5">
        <f>COLUMN()</f>
        <v>5</v>
      </c>
      <c r="F1" s="5">
        <f>COLUMN()</f>
        <v>6</v>
      </c>
      <c r="H1" s="5">
        <f>COLUMN()</f>
        <v>8</v>
      </c>
      <c r="I1" s="5">
        <f>COLUMN()</f>
        <v>9</v>
      </c>
      <c r="K1" s="5">
        <f>COLUMN()</f>
        <v>11</v>
      </c>
      <c r="L1" s="5">
        <f>COLUMN()</f>
        <v>12</v>
      </c>
      <c r="N1" s="5">
        <f>COLUMN()</f>
        <v>14</v>
      </c>
      <c r="O1" s="5">
        <f>COLUMN()</f>
        <v>15</v>
      </c>
      <c r="Q1" s="5">
        <f>COLUMN()</f>
        <v>17</v>
      </c>
      <c r="R1" s="5">
        <f>COLUMN()</f>
        <v>18</v>
      </c>
      <c r="S1" s="5">
        <f>COLUMN()</f>
        <v>19</v>
      </c>
      <c r="Z1" s="5">
        <f>COLUMN()</f>
        <v>26</v>
      </c>
      <c r="AA1" s="5">
        <v>27</v>
      </c>
    </row>
    <row r="2" spans="1:27" ht="15.75" customHeight="1">
      <c r="B2" s="16" t="s">
        <v>1429</v>
      </c>
      <c r="C2" s="4" t="s">
        <v>217</v>
      </c>
      <c r="D2" s="3" t="s">
        <v>4606</v>
      </c>
      <c r="E2" s="16" t="s">
        <v>318</v>
      </c>
      <c r="G2" s="10"/>
      <c r="H2" s="16" t="s">
        <v>319</v>
      </c>
      <c r="I2" s="4" t="s">
        <v>320</v>
      </c>
      <c r="J2" s="12">
        <v>45840</v>
      </c>
      <c r="K2" s="16" t="s">
        <v>321</v>
      </c>
      <c r="L2" s="8" t="s">
        <v>322</v>
      </c>
      <c r="M2" s="95" t="s">
        <v>4687</v>
      </c>
      <c r="N2" s="16" t="s">
        <v>323</v>
      </c>
      <c r="O2" s="4" t="s">
        <v>324</v>
      </c>
      <c r="P2" s="3" t="b">
        <v>0</v>
      </c>
      <c r="Q2" s="16" t="s">
        <v>1437</v>
      </c>
      <c r="S2" s="3"/>
      <c r="U2" s="5"/>
      <c r="Z2" s="3" t="s">
        <v>3067</v>
      </c>
      <c r="AA2" s="3">
        <v>189112</v>
      </c>
    </row>
    <row r="3" spans="1:27" ht="15.75" customHeight="1">
      <c r="B3" s="16" t="s">
        <v>2</v>
      </c>
      <c r="C3" s="4" t="s">
        <v>218</v>
      </c>
      <c r="D3" s="3" t="s">
        <v>4613</v>
      </c>
      <c r="E3" s="16" t="s">
        <v>325</v>
      </c>
      <c r="G3" s="10"/>
      <c r="H3" s="16" t="s">
        <v>326</v>
      </c>
      <c r="J3" s="12"/>
      <c r="K3" s="16" t="s">
        <v>327</v>
      </c>
      <c r="L3" s="4" t="s">
        <v>328</v>
      </c>
      <c r="M3" s="2" t="s">
        <v>4688</v>
      </c>
      <c r="N3" s="16" t="s">
        <v>329</v>
      </c>
      <c r="O3" s="4" t="s">
        <v>330</v>
      </c>
      <c r="P3" s="3" t="b">
        <v>0</v>
      </c>
      <c r="Q3" s="16" t="s">
        <v>1438</v>
      </c>
      <c r="S3" s="3"/>
      <c r="Z3" s="3" t="s">
        <v>3043</v>
      </c>
      <c r="AA3" s="3" t="s">
        <v>4609</v>
      </c>
    </row>
    <row r="4" spans="1:27" ht="15.75" customHeight="1">
      <c r="B4" s="16" t="s">
        <v>1430</v>
      </c>
      <c r="D4" s="3" t="s">
        <v>4614</v>
      </c>
      <c r="E4" s="16" t="s">
        <v>331</v>
      </c>
      <c r="G4" s="10"/>
      <c r="H4" s="16" t="s">
        <v>332</v>
      </c>
      <c r="J4" s="12"/>
      <c r="K4" s="16" t="s">
        <v>333</v>
      </c>
      <c r="L4" s="4" t="s">
        <v>334</v>
      </c>
      <c r="M4" s="2" t="s">
        <v>4689</v>
      </c>
      <c r="N4" s="16" t="s">
        <v>335</v>
      </c>
      <c r="P4" s="3"/>
      <c r="Q4" s="16" t="s">
        <v>1439</v>
      </c>
      <c r="S4" s="3"/>
      <c r="Z4" s="3" t="s">
        <v>3068</v>
      </c>
      <c r="AA4" s="3">
        <v>282082</v>
      </c>
    </row>
    <row r="5" spans="1:27" ht="15.75" customHeight="1">
      <c r="B5" s="16" t="s">
        <v>3</v>
      </c>
      <c r="C5" s="8" t="s">
        <v>219</v>
      </c>
      <c r="D5" s="94" t="s">
        <v>4588</v>
      </c>
      <c r="E5" s="16" t="s">
        <v>336</v>
      </c>
      <c r="G5" s="10"/>
      <c r="H5" s="16" t="s">
        <v>1861</v>
      </c>
      <c r="I5" s="4" t="s">
        <v>337</v>
      </c>
      <c r="J5" s="12">
        <v>45842</v>
      </c>
      <c r="K5" s="16" t="s">
        <v>338</v>
      </c>
      <c r="L5" s="4" t="s">
        <v>339</v>
      </c>
      <c r="M5" s="2" t="s">
        <v>4690</v>
      </c>
      <c r="N5" s="16" t="s">
        <v>340</v>
      </c>
      <c r="P5" s="3"/>
      <c r="Q5" s="16" t="s">
        <v>1440</v>
      </c>
      <c r="R5" s="4" t="s">
        <v>341</v>
      </c>
      <c r="S5" s="3"/>
      <c r="Z5" s="3" t="s">
        <v>3069</v>
      </c>
      <c r="AA5" s="3">
        <v>183</v>
      </c>
    </row>
    <row r="6" spans="1:27" ht="15.75" customHeight="1">
      <c r="B6" s="16" t="s">
        <v>4</v>
      </c>
      <c r="C6" s="8" t="s">
        <v>220</v>
      </c>
      <c r="D6" s="94" t="s">
        <v>4615</v>
      </c>
      <c r="E6" s="16" t="s">
        <v>342</v>
      </c>
      <c r="G6" s="10"/>
      <c r="H6" s="16" t="s">
        <v>1862</v>
      </c>
      <c r="I6" s="4" t="s">
        <v>343</v>
      </c>
      <c r="J6" s="12">
        <v>45557</v>
      </c>
      <c r="K6" s="16" t="s">
        <v>344</v>
      </c>
      <c r="L6" s="4" t="s">
        <v>345</v>
      </c>
      <c r="M6" s="2" t="s">
        <v>4691</v>
      </c>
      <c r="N6" s="16" t="s">
        <v>346</v>
      </c>
      <c r="P6" s="3"/>
      <c r="Q6" s="16" t="s">
        <v>1441</v>
      </c>
      <c r="S6" s="3"/>
      <c r="Z6" s="3" t="s">
        <v>3070</v>
      </c>
      <c r="AA6" s="3" t="s">
        <v>317</v>
      </c>
    </row>
    <row r="7" spans="1:27" ht="15.75" customHeight="1">
      <c r="B7" s="16" t="s">
        <v>1858</v>
      </c>
      <c r="C7" s="8" t="s">
        <v>221</v>
      </c>
      <c r="D7" s="94" t="s">
        <v>4616</v>
      </c>
      <c r="E7" s="16" t="s">
        <v>347</v>
      </c>
      <c r="G7" s="10"/>
      <c r="H7" s="16" t="s">
        <v>348</v>
      </c>
      <c r="J7" s="12"/>
      <c r="K7" s="16" t="s">
        <v>349</v>
      </c>
      <c r="L7" s="4" t="s">
        <v>350</v>
      </c>
      <c r="M7" s="2" t="s">
        <v>4692</v>
      </c>
      <c r="N7" s="16" t="s">
        <v>351</v>
      </c>
      <c r="P7" s="3"/>
      <c r="Q7" s="16" t="s">
        <v>1442</v>
      </c>
      <c r="S7" s="3"/>
      <c r="Z7" s="3" t="s">
        <v>3071</v>
      </c>
      <c r="AA7" s="3">
        <v>900</v>
      </c>
    </row>
    <row r="8" spans="1:27" ht="15.75" customHeight="1">
      <c r="B8" s="16" t="s">
        <v>1860</v>
      </c>
      <c r="C8" s="8" t="s">
        <v>222</v>
      </c>
      <c r="D8" s="94" t="s">
        <v>4617</v>
      </c>
      <c r="E8" s="16" t="s">
        <v>352</v>
      </c>
      <c r="G8" s="10"/>
      <c r="H8" s="16" t="s">
        <v>353</v>
      </c>
      <c r="I8" s="4" t="s">
        <v>354</v>
      </c>
      <c r="J8" s="12">
        <v>45896</v>
      </c>
      <c r="K8" s="16" t="s">
        <v>355</v>
      </c>
      <c r="L8" s="4" t="s">
        <v>1435</v>
      </c>
      <c r="M8" s="2" t="s">
        <v>4693</v>
      </c>
      <c r="N8" s="16" t="s">
        <v>356</v>
      </c>
      <c r="P8" s="3"/>
      <c r="Q8" s="16" t="s">
        <v>1443</v>
      </c>
      <c r="S8" s="3"/>
      <c r="Z8" s="3" t="s">
        <v>3072</v>
      </c>
      <c r="AA8" s="3">
        <v>738</v>
      </c>
    </row>
    <row r="9" spans="1:27" ht="15.75" customHeight="1">
      <c r="B9" s="16" t="s">
        <v>5</v>
      </c>
      <c r="C9" s="8" t="s">
        <v>223</v>
      </c>
      <c r="D9" s="94" t="s">
        <v>317</v>
      </c>
      <c r="E9" s="16" t="s">
        <v>357</v>
      </c>
      <c r="G9" s="10"/>
      <c r="H9" s="16" t="s">
        <v>1863</v>
      </c>
      <c r="I9" s="4" t="s">
        <v>358</v>
      </c>
      <c r="J9" s="12">
        <v>45896</v>
      </c>
      <c r="K9" s="16" t="s">
        <v>359</v>
      </c>
      <c r="M9" s="3"/>
      <c r="N9" s="16" t="s">
        <v>360</v>
      </c>
      <c r="P9" s="3"/>
      <c r="Q9" s="16" t="s">
        <v>1444</v>
      </c>
      <c r="S9" s="3"/>
      <c r="Z9" s="3" t="s">
        <v>3073</v>
      </c>
      <c r="AA9" s="3">
        <v>738</v>
      </c>
    </row>
    <row r="10" spans="1:27" ht="15.75" customHeight="1">
      <c r="B10" s="16" t="s">
        <v>6</v>
      </c>
      <c r="C10" s="8" t="s">
        <v>224</v>
      </c>
      <c r="D10" s="94" t="s">
        <v>4618</v>
      </c>
      <c r="E10" s="16" t="s">
        <v>361</v>
      </c>
      <c r="G10" s="10"/>
      <c r="H10" s="16" t="s">
        <v>362</v>
      </c>
      <c r="I10" s="4" t="s">
        <v>363</v>
      </c>
      <c r="J10" s="12">
        <v>45936</v>
      </c>
      <c r="K10" s="16" t="s">
        <v>364</v>
      </c>
      <c r="M10" s="3"/>
      <c r="N10" s="16" t="s">
        <v>365</v>
      </c>
      <c r="P10" s="3"/>
      <c r="Q10" s="16" t="s">
        <v>1445</v>
      </c>
      <c r="S10" s="3"/>
      <c r="Z10" s="3" t="s">
        <v>3074</v>
      </c>
      <c r="AA10" s="3" t="b">
        <v>0</v>
      </c>
    </row>
    <row r="11" spans="1:27" ht="15.75" customHeight="1">
      <c r="B11" s="16" t="s">
        <v>7</v>
      </c>
      <c r="C11" s="8" t="s">
        <v>225</v>
      </c>
      <c r="D11" s="94" t="s">
        <v>4619</v>
      </c>
      <c r="E11" s="16" t="s">
        <v>366</v>
      </c>
      <c r="G11" s="10"/>
      <c r="H11" s="16" t="s">
        <v>1864</v>
      </c>
      <c r="I11" s="4" t="s">
        <v>367</v>
      </c>
      <c r="J11" s="12">
        <v>45936</v>
      </c>
      <c r="K11" s="16" t="s">
        <v>368</v>
      </c>
      <c r="M11" s="3"/>
      <c r="N11" s="16" t="s">
        <v>369</v>
      </c>
      <c r="P11" s="3"/>
      <c r="Q11" s="16" t="s">
        <v>1446</v>
      </c>
      <c r="S11" s="3"/>
      <c r="Z11" s="3" t="s">
        <v>3044</v>
      </c>
      <c r="AA11" s="3" t="s">
        <v>4610</v>
      </c>
    </row>
    <row r="12" spans="1:27" ht="15.75" customHeight="1">
      <c r="B12" s="16" t="s">
        <v>8</v>
      </c>
      <c r="C12" s="8" t="s">
        <v>226</v>
      </c>
      <c r="D12" s="94" t="s">
        <v>4620</v>
      </c>
      <c r="E12" s="16" t="s">
        <v>370</v>
      </c>
      <c r="G12" s="10"/>
      <c r="H12" s="16" t="s">
        <v>371</v>
      </c>
      <c r="I12" s="4" t="s">
        <v>372</v>
      </c>
      <c r="J12" s="12">
        <v>46040</v>
      </c>
      <c r="K12" s="16" t="s">
        <v>373</v>
      </c>
      <c r="M12" s="3"/>
      <c r="N12" s="16" t="s">
        <v>374</v>
      </c>
      <c r="P12" s="3"/>
      <c r="Q12" s="16" t="s">
        <v>1447</v>
      </c>
      <c r="S12" s="3"/>
      <c r="Z12" s="3" t="s">
        <v>3075</v>
      </c>
      <c r="AA12" s="3">
        <v>738</v>
      </c>
    </row>
    <row r="13" spans="1:27" ht="15.75" customHeight="1">
      <c r="B13" s="16" t="s">
        <v>2629</v>
      </c>
      <c r="C13" s="8" t="s">
        <v>227</v>
      </c>
      <c r="D13" s="94" t="s">
        <v>4618</v>
      </c>
      <c r="E13" s="16" t="s">
        <v>375</v>
      </c>
      <c r="G13" s="10"/>
      <c r="H13" s="16" t="s">
        <v>1865</v>
      </c>
      <c r="I13" s="4" t="s">
        <v>376</v>
      </c>
      <c r="J13" s="12">
        <v>46055</v>
      </c>
      <c r="K13" s="16" t="s">
        <v>377</v>
      </c>
      <c r="L13" s="4" t="s">
        <v>378</v>
      </c>
      <c r="M13" s="2" t="s">
        <v>317</v>
      </c>
      <c r="N13" s="16" t="s">
        <v>379</v>
      </c>
      <c r="P13" s="3"/>
      <c r="Q13" s="16" t="s">
        <v>1448</v>
      </c>
      <c r="S13" s="3"/>
      <c r="Z13" s="3" t="s">
        <v>3076</v>
      </c>
      <c r="AA13" s="3">
        <v>995</v>
      </c>
    </row>
    <row r="14" spans="1:27" ht="15.75" customHeight="1">
      <c r="B14" s="16" t="s">
        <v>9</v>
      </c>
      <c r="C14" s="4" t="s">
        <v>228</v>
      </c>
      <c r="D14" s="3" t="s">
        <v>1678</v>
      </c>
      <c r="E14" s="16" t="s">
        <v>380</v>
      </c>
      <c r="G14" s="10"/>
      <c r="H14" s="16" t="s">
        <v>381</v>
      </c>
      <c r="I14" s="4" t="s">
        <v>382</v>
      </c>
      <c r="J14" s="12">
        <v>45872</v>
      </c>
      <c r="K14" s="16" t="s">
        <v>383</v>
      </c>
      <c r="L14" s="4" t="s">
        <v>384</v>
      </c>
      <c r="M14" s="3" t="s">
        <v>317</v>
      </c>
      <c r="N14" s="16" t="s">
        <v>385</v>
      </c>
      <c r="P14" s="3"/>
      <c r="Q14" s="16" t="s">
        <v>1449</v>
      </c>
      <c r="S14" s="3"/>
      <c r="Z14" s="3" t="s">
        <v>3045</v>
      </c>
      <c r="AA14" s="3" t="s">
        <v>4611</v>
      </c>
    </row>
    <row r="15" spans="1:27" ht="15.75" customHeight="1">
      <c r="B15" s="16" t="s">
        <v>1867</v>
      </c>
      <c r="C15" s="4" t="s">
        <v>229</v>
      </c>
      <c r="D15" s="3" t="s">
        <v>1684</v>
      </c>
      <c r="E15" s="16" t="s">
        <v>386</v>
      </c>
      <c r="G15" s="10"/>
      <c r="H15" s="16" t="s">
        <v>387</v>
      </c>
      <c r="J15" s="12"/>
      <c r="K15" s="16" t="s">
        <v>388</v>
      </c>
      <c r="L15" s="4" t="s">
        <v>389</v>
      </c>
      <c r="M15" s="3" t="s">
        <v>317</v>
      </c>
      <c r="N15" s="16" t="s">
        <v>390</v>
      </c>
      <c r="P15" s="3"/>
      <c r="Q15" s="16" t="s">
        <v>1450</v>
      </c>
      <c r="S15" s="3"/>
      <c r="Z15" s="3" t="s">
        <v>3046</v>
      </c>
      <c r="AA15" s="3" t="s">
        <v>4612</v>
      </c>
    </row>
    <row r="16" spans="1:27" ht="15.75" customHeight="1">
      <c r="B16" s="16" t="s">
        <v>10</v>
      </c>
      <c r="C16" s="4" t="s">
        <v>230</v>
      </c>
      <c r="D16" s="3" t="s">
        <v>4621</v>
      </c>
      <c r="E16" s="16" t="s">
        <v>391</v>
      </c>
      <c r="G16" s="10"/>
      <c r="H16" s="16" t="s">
        <v>392</v>
      </c>
      <c r="J16" s="12"/>
      <c r="K16" s="16" t="s">
        <v>393</v>
      </c>
      <c r="M16" s="3"/>
      <c r="N16" s="16" t="s">
        <v>394</v>
      </c>
      <c r="P16" s="3"/>
      <c r="Q16" s="16" t="s">
        <v>1451</v>
      </c>
      <c r="S16" s="3"/>
      <c r="Z16" s="3" t="s">
        <v>3077</v>
      </c>
      <c r="AA16" s="3">
        <v>1.1000000000000001</v>
      </c>
    </row>
    <row r="17" spans="2:27" ht="15.75" customHeight="1">
      <c r="B17" s="16" t="s">
        <v>1859</v>
      </c>
      <c r="C17" s="4" t="s">
        <v>231</v>
      </c>
      <c r="D17" s="3" t="s">
        <v>1679</v>
      </c>
      <c r="E17" s="16" t="s">
        <v>395</v>
      </c>
      <c r="G17" s="10"/>
      <c r="H17" s="16" t="s">
        <v>396</v>
      </c>
      <c r="J17" s="12">
        <v>45916</v>
      </c>
      <c r="K17" s="16" t="s">
        <v>397</v>
      </c>
      <c r="M17" s="3"/>
      <c r="N17" s="16" t="s">
        <v>398</v>
      </c>
      <c r="P17" s="3"/>
      <c r="Q17" s="16" t="s">
        <v>1452</v>
      </c>
      <c r="S17" s="3"/>
      <c r="Z17" s="3"/>
      <c r="AA17" s="3"/>
    </row>
    <row r="18" spans="2:27" ht="15.75" customHeight="1">
      <c r="B18" s="16" t="s">
        <v>1866</v>
      </c>
      <c r="C18" s="4" t="s">
        <v>232</v>
      </c>
      <c r="D18" s="3" t="s">
        <v>4607</v>
      </c>
      <c r="E18" s="16" t="s">
        <v>399</v>
      </c>
      <c r="G18" s="10"/>
      <c r="H18" s="16" t="s">
        <v>400</v>
      </c>
      <c r="J18" s="12">
        <v>46081</v>
      </c>
      <c r="K18" s="16" t="s">
        <v>401</v>
      </c>
      <c r="M18" s="3"/>
      <c r="N18" s="16" t="s">
        <v>402</v>
      </c>
      <c r="P18" s="3"/>
      <c r="Q18" s="16" t="s">
        <v>1453</v>
      </c>
      <c r="S18" s="3"/>
      <c r="Z18" s="3"/>
      <c r="AA18" s="3"/>
    </row>
    <row r="19" spans="2:27" ht="15.75" customHeight="1">
      <c r="B19" s="16" t="s">
        <v>11</v>
      </c>
      <c r="C19" s="4" t="s">
        <v>233</v>
      </c>
      <c r="D19" s="3" t="s">
        <v>4622</v>
      </c>
      <c r="E19" s="16" t="s">
        <v>403</v>
      </c>
      <c r="G19" s="10"/>
      <c r="H19" s="16" t="s">
        <v>404</v>
      </c>
      <c r="J19" s="12"/>
      <c r="K19" s="16" t="s">
        <v>405</v>
      </c>
      <c r="L19" s="4" t="s">
        <v>1436</v>
      </c>
      <c r="M19" s="3" t="s">
        <v>4694</v>
      </c>
      <c r="N19" s="16" t="s">
        <v>406</v>
      </c>
      <c r="P19" s="3"/>
      <c r="Q19" s="16" t="s">
        <v>1454</v>
      </c>
      <c r="S19" s="3"/>
      <c r="Z19" s="3"/>
      <c r="AA19" s="3"/>
    </row>
    <row r="20" spans="2:27" ht="15.75" customHeight="1">
      <c r="B20" s="16" t="s">
        <v>12</v>
      </c>
      <c r="C20" s="4" t="s">
        <v>234</v>
      </c>
      <c r="D20" s="3" t="s">
        <v>4607</v>
      </c>
      <c r="E20" s="16" t="s">
        <v>407</v>
      </c>
      <c r="G20" s="10"/>
      <c r="H20" s="16" t="s">
        <v>408</v>
      </c>
      <c r="J20" s="12"/>
      <c r="K20" s="16" t="s">
        <v>409</v>
      </c>
      <c r="M20" s="3"/>
      <c r="N20" s="16" t="s">
        <v>1428</v>
      </c>
      <c r="P20" s="3"/>
      <c r="Q20" s="16" t="s">
        <v>1455</v>
      </c>
      <c r="S20" s="3"/>
      <c r="Z20" s="3"/>
      <c r="AA20" s="3"/>
    </row>
    <row r="21" spans="2:27" ht="15.75" customHeight="1">
      <c r="B21" s="16" t="s">
        <v>13</v>
      </c>
      <c r="C21" s="4" t="s">
        <v>235</v>
      </c>
      <c r="D21" s="3" t="s">
        <v>4622</v>
      </c>
      <c r="E21" s="16" t="s">
        <v>410</v>
      </c>
      <c r="G21" s="10"/>
      <c r="H21" s="16" t="s">
        <v>411</v>
      </c>
      <c r="J21" s="12"/>
      <c r="K21" s="16" t="s">
        <v>412</v>
      </c>
      <c r="M21" s="3"/>
      <c r="N21" s="16" t="s">
        <v>413</v>
      </c>
      <c r="P21" s="3"/>
      <c r="Q21" s="16" t="s">
        <v>1456</v>
      </c>
      <c r="S21" s="3"/>
      <c r="Z21" s="3"/>
      <c r="AA21" s="3"/>
    </row>
    <row r="22" spans="2:27" ht="15.75" customHeight="1">
      <c r="B22" s="16" t="s">
        <v>14</v>
      </c>
      <c r="C22" s="4" t="s">
        <v>236</v>
      </c>
      <c r="D22" s="3" t="s">
        <v>317</v>
      </c>
      <c r="E22" s="16" t="s">
        <v>414</v>
      </c>
      <c r="G22" s="10"/>
      <c r="H22" s="16" t="s">
        <v>415</v>
      </c>
      <c r="J22" s="12"/>
      <c r="K22" s="16" t="s">
        <v>416</v>
      </c>
      <c r="M22" s="3"/>
      <c r="N22" s="16" t="s">
        <v>417</v>
      </c>
      <c r="P22" s="3"/>
      <c r="Q22" s="16" t="s">
        <v>1457</v>
      </c>
      <c r="S22" s="3"/>
      <c r="Z22" s="3"/>
      <c r="AA22" s="3"/>
    </row>
    <row r="23" spans="2:27" ht="15.75" customHeight="1">
      <c r="B23" s="16" t="s">
        <v>15</v>
      </c>
      <c r="C23" s="4" t="s">
        <v>237</v>
      </c>
      <c r="D23" s="3" t="s">
        <v>317</v>
      </c>
      <c r="E23" s="16" t="s">
        <v>418</v>
      </c>
      <c r="G23" s="10"/>
      <c r="H23" s="16" t="s">
        <v>419</v>
      </c>
      <c r="J23" s="12"/>
      <c r="K23" s="16" t="s">
        <v>420</v>
      </c>
      <c r="M23" s="3"/>
      <c r="N23" s="16" t="s">
        <v>421</v>
      </c>
      <c r="P23" s="3"/>
      <c r="Q23" s="16" t="s">
        <v>1458</v>
      </c>
      <c r="S23" s="3"/>
      <c r="Z23" s="3"/>
      <c r="AA23" s="3"/>
    </row>
    <row r="24" spans="2:27" ht="15.75" customHeight="1">
      <c r="B24" s="16" t="s">
        <v>16</v>
      </c>
      <c r="C24" s="8" t="s">
        <v>238</v>
      </c>
      <c r="D24" s="94" t="s">
        <v>4623</v>
      </c>
      <c r="E24" s="16" t="s">
        <v>422</v>
      </c>
      <c r="G24" s="10"/>
      <c r="H24" s="16" t="s">
        <v>423</v>
      </c>
      <c r="J24" s="12"/>
      <c r="K24" s="16" t="s">
        <v>424</v>
      </c>
      <c r="M24" s="3"/>
      <c r="N24" s="16" t="s">
        <v>425</v>
      </c>
      <c r="P24" s="3"/>
      <c r="Q24" s="16" t="s">
        <v>1459</v>
      </c>
      <c r="S24" s="3"/>
      <c r="Z24" s="3"/>
      <c r="AA24" s="3"/>
    </row>
    <row r="25" spans="2:27" ht="15.75" customHeight="1">
      <c r="B25" s="16" t="s">
        <v>17</v>
      </c>
      <c r="C25" s="4" t="s">
        <v>239</v>
      </c>
      <c r="D25" s="3" t="s">
        <v>1680</v>
      </c>
      <c r="E25" s="16" t="s">
        <v>426</v>
      </c>
      <c r="G25" s="10"/>
      <c r="H25" s="16" t="s">
        <v>427</v>
      </c>
      <c r="J25" s="12"/>
      <c r="K25" s="16" t="s">
        <v>428</v>
      </c>
      <c r="M25" s="3"/>
      <c r="N25" s="16" t="s">
        <v>429</v>
      </c>
      <c r="P25" s="3" t="b">
        <v>0</v>
      </c>
      <c r="Q25" s="16" t="s">
        <v>1460</v>
      </c>
      <c r="S25" s="3"/>
      <c r="Z25" s="3"/>
      <c r="AA25" s="3"/>
    </row>
    <row r="26" spans="2:27" ht="15.75" customHeight="1">
      <c r="B26" s="16" t="s">
        <v>2631</v>
      </c>
      <c r="C26" s="8" t="s">
        <v>240</v>
      </c>
      <c r="D26" s="94" t="s">
        <v>4624</v>
      </c>
      <c r="E26" s="16" t="s">
        <v>430</v>
      </c>
      <c r="G26" s="10"/>
      <c r="H26" s="16" t="s">
        <v>431</v>
      </c>
      <c r="J26" s="12"/>
      <c r="K26" s="16" t="s">
        <v>432</v>
      </c>
      <c r="M26" s="3"/>
      <c r="N26" s="16" t="s">
        <v>433</v>
      </c>
      <c r="P26" s="3"/>
      <c r="Q26" s="16" t="s">
        <v>1461</v>
      </c>
      <c r="S26" s="3"/>
      <c r="Z26" s="3"/>
      <c r="AA26" s="3"/>
    </row>
    <row r="27" spans="2:27" ht="15.75" customHeight="1">
      <c r="B27" s="16" t="s">
        <v>18</v>
      </c>
      <c r="C27" s="8" t="s">
        <v>241</v>
      </c>
      <c r="D27" s="94" t="s">
        <v>4620</v>
      </c>
      <c r="E27" s="16" t="s">
        <v>434</v>
      </c>
      <c r="G27" s="10"/>
      <c r="H27" s="16" t="s">
        <v>435</v>
      </c>
      <c r="J27" s="12"/>
      <c r="K27" s="16" t="s">
        <v>436</v>
      </c>
      <c r="M27" s="3"/>
      <c r="N27" s="16" t="s">
        <v>437</v>
      </c>
      <c r="P27" s="3"/>
      <c r="Q27" s="16" t="s">
        <v>1462</v>
      </c>
      <c r="S27" s="3"/>
      <c r="Z27" s="3"/>
      <c r="AA27" s="3"/>
    </row>
    <row r="28" spans="2:27" ht="15.75" customHeight="1">
      <c r="B28" s="16" t="s">
        <v>19</v>
      </c>
      <c r="C28" s="4" t="s">
        <v>3001</v>
      </c>
      <c r="D28" s="3" t="s">
        <v>4625</v>
      </c>
      <c r="E28" s="16" t="s">
        <v>438</v>
      </c>
      <c r="F28" s="4" t="s">
        <v>3024</v>
      </c>
      <c r="G28" s="10">
        <v>31</v>
      </c>
      <c r="H28" s="16" t="s">
        <v>439</v>
      </c>
      <c r="I28" s="4" t="s">
        <v>3027</v>
      </c>
      <c r="J28" s="12">
        <v>33950</v>
      </c>
      <c r="K28" s="16" t="s">
        <v>440</v>
      </c>
      <c r="L28" s="8" t="s">
        <v>441</v>
      </c>
      <c r="M28" s="94" t="s">
        <v>4695</v>
      </c>
      <c r="N28" s="16" t="s">
        <v>442</v>
      </c>
      <c r="P28" s="3"/>
      <c r="Q28" s="16" t="s">
        <v>1463</v>
      </c>
      <c r="R28" s="4" t="s">
        <v>443</v>
      </c>
      <c r="S28" s="3"/>
      <c r="Z28" s="3"/>
      <c r="AA28" s="3"/>
    </row>
    <row r="29" spans="2:27" ht="15.75" customHeight="1">
      <c r="B29" s="16" t="s">
        <v>20</v>
      </c>
      <c r="C29" s="4" t="s">
        <v>3002</v>
      </c>
      <c r="D29" s="3" t="s">
        <v>4626</v>
      </c>
      <c r="E29" s="16" t="s">
        <v>444</v>
      </c>
      <c r="F29" s="4" t="s">
        <v>3025</v>
      </c>
      <c r="G29" s="10"/>
      <c r="H29" s="16" t="s">
        <v>445</v>
      </c>
      <c r="I29" s="4" t="s">
        <v>3028</v>
      </c>
      <c r="J29" s="12"/>
      <c r="K29" s="16" t="s">
        <v>446</v>
      </c>
      <c r="L29" s="8" t="s">
        <v>447</v>
      </c>
      <c r="M29" s="94" t="s">
        <v>4696</v>
      </c>
      <c r="N29" s="16" t="s">
        <v>448</v>
      </c>
      <c r="P29" s="3"/>
      <c r="Q29" s="16" t="s">
        <v>1464</v>
      </c>
      <c r="R29" s="4" t="s">
        <v>449</v>
      </c>
      <c r="S29" s="3"/>
      <c r="Z29" s="3"/>
      <c r="AA29" s="3"/>
    </row>
    <row r="30" spans="2:27" ht="15.75" customHeight="1">
      <c r="B30" s="16" t="s">
        <v>21</v>
      </c>
      <c r="C30" s="4" t="s">
        <v>3003</v>
      </c>
      <c r="D30" s="3" t="s">
        <v>4627</v>
      </c>
      <c r="E30" s="16" t="s">
        <v>450</v>
      </c>
      <c r="F30" s="4" t="s">
        <v>3026</v>
      </c>
      <c r="G30" s="10"/>
      <c r="H30" s="16" t="s">
        <v>451</v>
      </c>
      <c r="I30" s="4" t="s">
        <v>3029</v>
      </c>
      <c r="J30" s="12"/>
      <c r="K30" s="16" t="s">
        <v>452</v>
      </c>
      <c r="L30" s="8" t="s">
        <v>453</v>
      </c>
      <c r="M30" s="94" t="s">
        <v>4697</v>
      </c>
      <c r="N30" s="16" t="s">
        <v>454</v>
      </c>
      <c r="P30" s="3"/>
      <c r="Q30" s="16" t="s">
        <v>1465</v>
      </c>
      <c r="R30" s="4" t="s">
        <v>455</v>
      </c>
      <c r="S30" s="3"/>
      <c r="Z30" s="3"/>
      <c r="AA30" s="3"/>
    </row>
    <row r="31" spans="2:27" ht="15.75" customHeight="1">
      <c r="B31" s="16" t="s">
        <v>22</v>
      </c>
      <c r="C31" s="4" t="s">
        <v>3004</v>
      </c>
      <c r="D31" s="3" t="s">
        <v>4628</v>
      </c>
      <c r="E31" s="16" t="s">
        <v>456</v>
      </c>
      <c r="G31" s="10"/>
      <c r="H31" s="16" t="s">
        <v>457</v>
      </c>
      <c r="J31" s="12"/>
      <c r="K31" s="16" t="s">
        <v>458</v>
      </c>
      <c r="L31" s="8" t="s">
        <v>1432</v>
      </c>
      <c r="M31" s="94" t="s">
        <v>4698</v>
      </c>
      <c r="N31" s="16" t="s">
        <v>459</v>
      </c>
      <c r="P31" s="3"/>
      <c r="Q31" s="16" t="s">
        <v>1466</v>
      </c>
      <c r="R31" s="4" t="s">
        <v>460</v>
      </c>
      <c r="S31" s="3"/>
      <c r="Z31" s="3"/>
      <c r="AA31" s="3"/>
    </row>
    <row r="32" spans="2:27" ht="15.75" customHeight="1">
      <c r="B32" s="16" t="s">
        <v>23</v>
      </c>
      <c r="C32" s="4" t="s">
        <v>3005</v>
      </c>
      <c r="D32" s="3" t="s">
        <v>4590</v>
      </c>
      <c r="E32" s="16" t="s">
        <v>461</v>
      </c>
      <c r="F32" s="4" t="s">
        <v>462</v>
      </c>
      <c r="G32" s="10">
        <v>8</v>
      </c>
      <c r="H32" s="16" t="s">
        <v>463</v>
      </c>
      <c r="J32" s="12"/>
      <c r="K32" s="16" t="s">
        <v>464</v>
      </c>
      <c r="L32" s="8" t="s">
        <v>1434</v>
      </c>
      <c r="M32" s="94" t="s">
        <v>4699</v>
      </c>
      <c r="N32" s="16" t="s">
        <v>465</v>
      </c>
      <c r="P32" s="3"/>
      <c r="Q32" s="16" t="s">
        <v>1467</v>
      </c>
      <c r="R32" s="4" t="s">
        <v>466</v>
      </c>
      <c r="S32" s="3"/>
      <c r="Z32" s="3"/>
      <c r="AA32" s="3"/>
    </row>
    <row r="33" spans="2:27" ht="15.75" customHeight="1">
      <c r="B33" s="16" t="s">
        <v>24</v>
      </c>
      <c r="C33" s="4" t="s">
        <v>3006</v>
      </c>
      <c r="D33" s="3" t="s">
        <v>4629</v>
      </c>
      <c r="E33" s="16" t="s">
        <v>467</v>
      </c>
      <c r="G33" s="10"/>
      <c r="H33" s="16" t="s">
        <v>468</v>
      </c>
      <c r="J33" s="12"/>
      <c r="K33" s="16" t="s">
        <v>469</v>
      </c>
      <c r="M33" s="3"/>
      <c r="N33" s="16" t="s">
        <v>470</v>
      </c>
      <c r="P33" s="3"/>
      <c r="Q33" s="16" t="s">
        <v>1468</v>
      </c>
      <c r="R33" s="4" t="s">
        <v>471</v>
      </c>
      <c r="S33" s="3"/>
      <c r="Z33" s="3"/>
      <c r="AA33" s="3"/>
    </row>
    <row r="34" spans="2:27" ht="15.75" customHeight="1">
      <c r="B34" s="16" t="s">
        <v>25</v>
      </c>
      <c r="C34" s="4" t="s">
        <v>3039</v>
      </c>
      <c r="D34" s="3" t="s">
        <v>4630</v>
      </c>
      <c r="E34" s="16" t="s">
        <v>472</v>
      </c>
      <c r="G34" s="10"/>
      <c r="H34" s="16" t="s">
        <v>473</v>
      </c>
      <c r="J34" s="12"/>
      <c r="K34" s="16" t="s">
        <v>474</v>
      </c>
      <c r="M34" s="3"/>
      <c r="N34" s="16" t="s">
        <v>475</v>
      </c>
      <c r="P34" s="3"/>
      <c r="Q34" s="16" t="s">
        <v>1469</v>
      </c>
      <c r="R34" s="4" t="s">
        <v>476</v>
      </c>
      <c r="S34" s="3"/>
      <c r="Z34" s="3"/>
      <c r="AA34" s="3"/>
    </row>
    <row r="35" spans="2:27" ht="15.75" customHeight="1">
      <c r="B35" s="16" t="s">
        <v>26</v>
      </c>
      <c r="C35" s="4" t="s">
        <v>3007</v>
      </c>
      <c r="D35" s="3" t="s">
        <v>4631</v>
      </c>
      <c r="E35" s="16" t="s">
        <v>477</v>
      </c>
      <c r="G35" s="10"/>
      <c r="H35" s="16" t="s">
        <v>478</v>
      </c>
      <c r="J35" s="12"/>
      <c r="K35" s="16" t="s">
        <v>479</v>
      </c>
      <c r="M35" s="3"/>
      <c r="N35" s="16" t="s">
        <v>480</v>
      </c>
      <c r="P35" s="3"/>
      <c r="Q35" s="16" t="s">
        <v>1470</v>
      </c>
      <c r="R35" s="4" t="s">
        <v>481</v>
      </c>
      <c r="S35" s="3"/>
      <c r="Z35" s="3"/>
      <c r="AA35" s="3"/>
    </row>
    <row r="36" spans="2:27" ht="15.75" customHeight="1">
      <c r="B36" s="16" t="s">
        <v>27</v>
      </c>
      <c r="C36" s="4" t="s">
        <v>3008</v>
      </c>
      <c r="D36" s="3" t="s">
        <v>317</v>
      </c>
      <c r="E36" s="16" t="s">
        <v>482</v>
      </c>
      <c r="G36" s="10"/>
      <c r="H36" s="16" t="s">
        <v>483</v>
      </c>
      <c r="J36" s="12"/>
      <c r="K36" s="16" t="s">
        <v>484</v>
      </c>
      <c r="M36" s="3"/>
      <c r="N36" s="16" t="s">
        <v>485</v>
      </c>
      <c r="P36" s="3"/>
      <c r="Q36" s="16" t="s">
        <v>1471</v>
      </c>
      <c r="S36" s="3"/>
      <c r="Z36" s="3"/>
      <c r="AA36" s="3"/>
    </row>
    <row r="37" spans="2:27" ht="15.75" customHeight="1">
      <c r="B37" s="16" t="s">
        <v>28</v>
      </c>
      <c r="C37" s="4" t="s">
        <v>3009</v>
      </c>
      <c r="D37" s="3" t="s">
        <v>317</v>
      </c>
      <c r="E37" s="16" t="s">
        <v>486</v>
      </c>
      <c r="G37" s="10"/>
      <c r="H37" s="16" t="s">
        <v>487</v>
      </c>
      <c r="I37" s="4" t="s">
        <v>488</v>
      </c>
      <c r="J37" s="12">
        <v>45801</v>
      </c>
      <c r="K37" s="16" t="s">
        <v>489</v>
      </c>
      <c r="M37" s="3"/>
      <c r="N37" s="16" t="s">
        <v>490</v>
      </c>
      <c r="P37" s="3"/>
      <c r="Q37" s="16" t="s">
        <v>1472</v>
      </c>
      <c r="S37" s="3"/>
      <c r="Z37" s="3"/>
      <c r="AA37" s="3"/>
    </row>
    <row r="38" spans="2:27" ht="15.75" customHeight="1">
      <c r="B38" s="16" t="s">
        <v>29</v>
      </c>
      <c r="C38" s="4" t="s">
        <v>3010</v>
      </c>
      <c r="D38" s="3" t="s">
        <v>317</v>
      </c>
      <c r="E38" s="16" t="s">
        <v>491</v>
      </c>
      <c r="F38" s="4" t="s">
        <v>492</v>
      </c>
      <c r="G38" s="93">
        <v>78.459999999999994</v>
      </c>
      <c r="H38" s="16" t="s">
        <v>493</v>
      </c>
      <c r="I38" s="4" t="s">
        <v>494</v>
      </c>
      <c r="J38" s="12">
        <v>45829</v>
      </c>
      <c r="K38" s="16" t="s">
        <v>495</v>
      </c>
      <c r="M38" s="3"/>
      <c r="N38" s="16" t="s">
        <v>496</v>
      </c>
      <c r="P38" s="3"/>
      <c r="Q38" s="16" t="s">
        <v>1473</v>
      </c>
      <c r="R38" s="4" t="s">
        <v>497</v>
      </c>
      <c r="S38" s="3"/>
      <c r="Z38" s="3"/>
      <c r="AA38" s="3"/>
    </row>
    <row r="39" spans="2:27" ht="15.75" customHeight="1">
      <c r="B39" s="16" t="s">
        <v>30</v>
      </c>
      <c r="C39" s="4" t="s">
        <v>3011</v>
      </c>
      <c r="D39" s="3" t="s">
        <v>317</v>
      </c>
      <c r="E39" s="16" t="s">
        <v>498</v>
      </c>
      <c r="F39" s="4" t="s">
        <v>499</v>
      </c>
      <c r="G39" s="93">
        <v>57.75</v>
      </c>
      <c r="H39" s="16" t="s">
        <v>500</v>
      </c>
      <c r="I39" s="4" t="s">
        <v>501</v>
      </c>
      <c r="J39" s="12">
        <v>45843</v>
      </c>
      <c r="K39" s="16" t="s">
        <v>502</v>
      </c>
      <c r="M39" s="3"/>
      <c r="N39" s="16" t="s">
        <v>503</v>
      </c>
      <c r="P39" s="3"/>
      <c r="Q39" s="16" t="s">
        <v>1474</v>
      </c>
      <c r="R39" s="4" t="s">
        <v>504</v>
      </c>
      <c r="S39" s="3"/>
      <c r="Z39" s="3"/>
      <c r="AA39" s="3"/>
    </row>
    <row r="40" spans="2:27" ht="15.75" customHeight="1">
      <c r="B40" s="16" t="s">
        <v>31</v>
      </c>
      <c r="C40" s="4" t="s">
        <v>3012</v>
      </c>
      <c r="D40" s="3" t="s">
        <v>317</v>
      </c>
      <c r="E40" s="16" t="s">
        <v>505</v>
      </c>
      <c r="F40" s="4" t="s">
        <v>506</v>
      </c>
      <c r="G40" s="93">
        <v>0</v>
      </c>
      <c r="H40" s="16" t="s">
        <v>507</v>
      </c>
      <c r="I40" s="4" t="s">
        <v>508</v>
      </c>
      <c r="J40" s="12">
        <v>45807</v>
      </c>
      <c r="K40" s="16" t="s">
        <v>509</v>
      </c>
      <c r="M40" s="3"/>
      <c r="N40" s="16" t="s">
        <v>510</v>
      </c>
      <c r="P40" s="3"/>
      <c r="Q40" s="16" t="s">
        <v>1475</v>
      </c>
      <c r="R40" s="4" t="s">
        <v>511</v>
      </c>
      <c r="S40" s="3"/>
      <c r="Z40" s="3"/>
      <c r="AA40" s="3"/>
    </row>
    <row r="41" spans="2:27" ht="15.75" customHeight="1">
      <c r="B41" s="16" t="s">
        <v>32</v>
      </c>
      <c r="C41" s="4" t="s">
        <v>3013</v>
      </c>
      <c r="D41" s="3" t="s">
        <v>317</v>
      </c>
      <c r="E41" s="16" t="s">
        <v>512</v>
      </c>
      <c r="F41" s="4" t="s">
        <v>513</v>
      </c>
      <c r="G41" s="93">
        <v>0</v>
      </c>
      <c r="H41" s="16" t="s">
        <v>514</v>
      </c>
      <c r="I41" s="4" t="s">
        <v>515</v>
      </c>
      <c r="J41" s="12"/>
      <c r="K41" s="16" t="s">
        <v>516</v>
      </c>
      <c r="M41" s="3"/>
      <c r="N41" s="16" t="s">
        <v>517</v>
      </c>
      <c r="P41" s="3"/>
      <c r="Q41" s="16" t="s">
        <v>1476</v>
      </c>
      <c r="R41" s="4" t="s">
        <v>518</v>
      </c>
      <c r="S41" s="3"/>
      <c r="Z41" s="3"/>
      <c r="AA41" s="3"/>
    </row>
    <row r="42" spans="2:27" ht="15.75" customHeight="1">
      <c r="B42" s="16" t="s">
        <v>33</v>
      </c>
      <c r="C42" s="4" t="s">
        <v>3014</v>
      </c>
      <c r="D42" s="3" t="s">
        <v>317</v>
      </c>
      <c r="E42" s="16" t="s">
        <v>519</v>
      </c>
      <c r="F42" s="4" t="s">
        <v>520</v>
      </c>
      <c r="G42" s="93">
        <v>136.21</v>
      </c>
      <c r="H42" s="16" t="s">
        <v>521</v>
      </c>
      <c r="I42" s="4" t="s">
        <v>522</v>
      </c>
      <c r="J42" s="12"/>
      <c r="K42" s="16" t="s">
        <v>523</v>
      </c>
      <c r="M42" s="3"/>
      <c r="N42" s="16" t="s">
        <v>524</v>
      </c>
      <c r="P42" s="3"/>
      <c r="Q42" s="16" t="s">
        <v>1477</v>
      </c>
      <c r="R42" s="4" t="s">
        <v>525</v>
      </c>
      <c r="S42" s="3"/>
      <c r="Z42" s="3"/>
      <c r="AA42" s="3"/>
    </row>
    <row r="43" spans="2:27" ht="15.75" customHeight="1">
      <c r="B43" s="16" t="s">
        <v>34</v>
      </c>
      <c r="C43" s="4" t="s">
        <v>3015</v>
      </c>
      <c r="D43" s="3" t="s">
        <v>317</v>
      </c>
      <c r="E43" s="16" t="s">
        <v>526</v>
      </c>
      <c r="F43" s="4" t="s">
        <v>527</v>
      </c>
      <c r="G43" s="93">
        <v>41.19</v>
      </c>
      <c r="H43" s="16" t="s">
        <v>528</v>
      </c>
      <c r="I43" s="4" t="s">
        <v>529</v>
      </c>
      <c r="J43" s="12">
        <v>45814</v>
      </c>
      <c r="K43" s="16" t="s">
        <v>530</v>
      </c>
      <c r="M43" s="3"/>
      <c r="N43" s="16" t="s">
        <v>531</v>
      </c>
      <c r="P43" s="3"/>
      <c r="Q43" s="16" t="s">
        <v>1478</v>
      </c>
      <c r="S43" s="3"/>
      <c r="Z43" s="3"/>
      <c r="AA43" s="3"/>
    </row>
    <row r="44" spans="2:27" ht="15.75" customHeight="1">
      <c r="B44" s="16" t="s">
        <v>35</v>
      </c>
      <c r="C44" s="4" t="s">
        <v>3016</v>
      </c>
      <c r="D44" s="3" t="s">
        <v>317</v>
      </c>
      <c r="E44" s="16" t="s">
        <v>532</v>
      </c>
      <c r="F44" s="4" t="s">
        <v>533</v>
      </c>
      <c r="G44" s="93">
        <v>85.91</v>
      </c>
      <c r="H44" s="16" t="s">
        <v>534</v>
      </c>
      <c r="I44" s="4" t="s">
        <v>535</v>
      </c>
      <c r="J44" s="12">
        <v>45828</v>
      </c>
      <c r="K44" s="16" t="s">
        <v>536</v>
      </c>
      <c r="M44" s="3"/>
      <c r="N44" s="16" t="s">
        <v>537</v>
      </c>
      <c r="P44" s="3"/>
      <c r="Q44" s="16" t="s">
        <v>1479</v>
      </c>
      <c r="S44" s="3"/>
      <c r="Z44" s="3"/>
      <c r="AA44" s="3"/>
    </row>
    <row r="45" spans="2:27" ht="15.75" customHeight="1">
      <c r="B45" s="16" t="s">
        <v>36</v>
      </c>
      <c r="C45" s="4" t="s">
        <v>3017</v>
      </c>
      <c r="D45" s="3" t="s">
        <v>317</v>
      </c>
      <c r="E45" s="16" t="s">
        <v>538</v>
      </c>
      <c r="F45" s="4" t="s">
        <v>539</v>
      </c>
      <c r="G45" s="93">
        <v>25.98</v>
      </c>
      <c r="H45" s="16" t="s">
        <v>540</v>
      </c>
      <c r="J45" s="12"/>
      <c r="K45" s="16" t="s">
        <v>541</v>
      </c>
      <c r="M45" s="3"/>
      <c r="N45" s="16" t="s">
        <v>542</v>
      </c>
      <c r="P45" s="3"/>
      <c r="Q45" s="16" t="s">
        <v>1480</v>
      </c>
      <c r="S45" s="3"/>
      <c r="Z45" s="3"/>
      <c r="AA45" s="3"/>
    </row>
    <row r="46" spans="2:27" ht="15.75" customHeight="1">
      <c r="B46" s="16" t="s">
        <v>37</v>
      </c>
      <c r="C46" s="4" t="s">
        <v>3018</v>
      </c>
      <c r="D46" s="3" t="s">
        <v>317</v>
      </c>
      <c r="E46" s="16" t="s">
        <v>543</v>
      </c>
      <c r="F46" s="4" t="s">
        <v>544</v>
      </c>
      <c r="G46" s="93">
        <v>0</v>
      </c>
      <c r="H46" s="16" t="s">
        <v>545</v>
      </c>
      <c r="J46" s="12"/>
      <c r="K46" s="16" t="s">
        <v>546</v>
      </c>
      <c r="M46" s="3"/>
      <c r="N46" s="16" t="s">
        <v>547</v>
      </c>
      <c r="P46" s="3"/>
      <c r="Q46" s="16" t="s">
        <v>1481</v>
      </c>
      <c r="S46" s="3"/>
      <c r="Z46" s="3"/>
      <c r="AA46" s="3"/>
    </row>
    <row r="47" spans="2:27" ht="15.75" customHeight="1">
      <c r="B47" s="16" t="s">
        <v>38</v>
      </c>
      <c r="C47" s="4" t="s">
        <v>3019</v>
      </c>
      <c r="D47" s="3" t="s">
        <v>317</v>
      </c>
      <c r="E47" s="16" t="s">
        <v>548</v>
      </c>
      <c r="G47" s="10"/>
      <c r="H47" s="16" t="s">
        <v>549</v>
      </c>
      <c r="J47" s="12"/>
      <c r="K47" s="16" t="s">
        <v>550</v>
      </c>
      <c r="M47" s="3"/>
      <c r="N47" s="16" t="s">
        <v>551</v>
      </c>
      <c r="P47" s="3"/>
      <c r="Q47" s="16" t="s">
        <v>1482</v>
      </c>
      <c r="S47" s="3"/>
      <c r="Z47" s="3"/>
      <c r="AA47" s="3"/>
    </row>
    <row r="48" spans="2:27" ht="15.75" customHeight="1">
      <c r="B48" s="16" t="s">
        <v>39</v>
      </c>
      <c r="C48" s="4" t="s">
        <v>3020</v>
      </c>
      <c r="D48" s="3" t="s">
        <v>317</v>
      </c>
      <c r="E48" s="16" t="s">
        <v>552</v>
      </c>
      <c r="G48" s="10"/>
      <c r="H48" s="16" t="s">
        <v>553</v>
      </c>
      <c r="J48" s="12"/>
      <c r="K48" s="16" t="s">
        <v>554</v>
      </c>
      <c r="M48" s="3"/>
      <c r="N48" s="16" t="s">
        <v>555</v>
      </c>
      <c r="P48" s="3"/>
      <c r="Q48" s="16" t="s">
        <v>1483</v>
      </c>
      <c r="R48" s="4" t="s">
        <v>556</v>
      </c>
      <c r="S48" s="3"/>
      <c r="Z48" s="3"/>
      <c r="AA48" s="3"/>
    </row>
    <row r="49" spans="2:27" ht="15.75" customHeight="1">
      <c r="B49" s="16" t="s">
        <v>40</v>
      </c>
      <c r="C49" s="4" t="s">
        <v>3021</v>
      </c>
      <c r="D49" s="3" t="s">
        <v>317</v>
      </c>
      <c r="E49" s="16" t="s">
        <v>557</v>
      </c>
      <c r="G49" s="10"/>
      <c r="H49" s="16" t="s">
        <v>558</v>
      </c>
      <c r="J49" s="12"/>
      <c r="K49" s="16" t="s">
        <v>559</v>
      </c>
      <c r="M49" s="3"/>
      <c r="N49" s="16" t="s">
        <v>560</v>
      </c>
      <c r="P49" s="3"/>
      <c r="Q49" s="16" t="s">
        <v>1484</v>
      </c>
      <c r="R49" s="4" t="s">
        <v>561</v>
      </c>
      <c r="S49" s="3"/>
      <c r="Z49" s="3"/>
      <c r="AA49" s="3"/>
    </row>
    <row r="50" spans="2:27" ht="15.75" customHeight="1">
      <c r="B50" s="16" t="s">
        <v>41</v>
      </c>
      <c r="C50" s="4" t="s">
        <v>3022</v>
      </c>
      <c r="D50" s="3" t="s">
        <v>317</v>
      </c>
      <c r="E50" s="16" t="s">
        <v>562</v>
      </c>
      <c r="G50" s="10"/>
      <c r="H50" s="16" t="s">
        <v>563</v>
      </c>
      <c r="J50" s="12"/>
      <c r="K50" s="16" t="s">
        <v>564</v>
      </c>
      <c r="M50" s="3"/>
      <c r="N50" s="16" t="s">
        <v>565</v>
      </c>
      <c r="P50" s="3"/>
      <c r="Q50" s="16" t="s">
        <v>1485</v>
      </c>
      <c r="R50" s="4" t="s">
        <v>566</v>
      </c>
      <c r="S50" s="3"/>
      <c r="Z50" s="3"/>
      <c r="AA50" s="3"/>
    </row>
    <row r="51" spans="2:27" ht="15.75" customHeight="1">
      <c r="B51" s="16" t="s">
        <v>42</v>
      </c>
      <c r="C51" s="4" t="s">
        <v>3023</v>
      </c>
      <c r="D51" s="3" t="s">
        <v>317</v>
      </c>
      <c r="E51" s="16" t="s">
        <v>567</v>
      </c>
      <c r="G51" s="10"/>
      <c r="H51" s="16" t="s">
        <v>568</v>
      </c>
      <c r="J51" s="12"/>
      <c r="K51" s="16" t="s">
        <v>569</v>
      </c>
      <c r="M51" s="3"/>
      <c r="N51" s="16" t="s">
        <v>570</v>
      </c>
      <c r="P51" s="3"/>
      <c r="Q51" s="16" t="s">
        <v>1486</v>
      </c>
      <c r="R51" s="4" t="s">
        <v>571</v>
      </c>
      <c r="S51" s="3"/>
      <c r="Z51" s="3"/>
      <c r="AA51" s="3"/>
    </row>
    <row r="52" spans="2:27" ht="15.75" customHeight="1">
      <c r="B52" s="16" t="s">
        <v>43</v>
      </c>
      <c r="C52" s="4" t="s">
        <v>3038</v>
      </c>
      <c r="D52" s="3" t="s">
        <v>4632</v>
      </c>
      <c r="E52" s="16" t="s">
        <v>572</v>
      </c>
      <c r="G52" s="10"/>
      <c r="H52" s="16" t="s">
        <v>573</v>
      </c>
      <c r="J52" s="12"/>
      <c r="K52" s="16" t="s">
        <v>574</v>
      </c>
      <c r="M52" s="3"/>
      <c r="N52" s="16" t="s">
        <v>575</v>
      </c>
      <c r="P52" s="3"/>
      <c r="Q52" s="16" t="s">
        <v>1487</v>
      </c>
      <c r="R52" s="4" t="s">
        <v>576</v>
      </c>
      <c r="S52" s="3"/>
      <c r="Z52" s="3"/>
      <c r="AA52" s="3"/>
    </row>
    <row r="53" spans="2:27" ht="15.75" customHeight="1">
      <c r="B53" s="16" t="s">
        <v>44</v>
      </c>
      <c r="C53" s="4" t="s">
        <v>242</v>
      </c>
      <c r="D53" s="3" t="s">
        <v>4633</v>
      </c>
      <c r="E53" s="16" t="s">
        <v>577</v>
      </c>
      <c r="G53" s="10"/>
      <c r="H53" s="16" t="s">
        <v>578</v>
      </c>
      <c r="J53" s="12"/>
      <c r="K53" s="16" t="s">
        <v>579</v>
      </c>
      <c r="M53" s="3"/>
      <c r="N53" s="16" t="s">
        <v>580</v>
      </c>
      <c r="P53" s="3"/>
      <c r="Q53" s="16" t="s">
        <v>1488</v>
      </c>
      <c r="S53" s="3"/>
      <c r="Z53" s="3"/>
      <c r="AA53" s="3"/>
    </row>
    <row r="54" spans="2:27" ht="15.75" customHeight="1">
      <c r="B54" s="16" t="s">
        <v>45</v>
      </c>
      <c r="C54" s="4" t="s">
        <v>243</v>
      </c>
      <c r="D54" s="3" t="s">
        <v>4633</v>
      </c>
      <c r="E54" s="16" t="s">
        <v>581</v>
      </c>
      <c r="G54" s="10"/>
      <c r="H54" s="16" t="s">
        <v>582</v>
      </c>
      <c r="J54" s="12"/>
      <c r="K54" s="16" t="s">
        <v>583</v>
      </c>
      <c r="M54" s="3"/>
      <c r="N54" s="16" t="s">
        <v>584</v>
      </c>
      <c r="P54" s="3"/>
      <c r="Q54" s="16" t="s">
        <v>1489</v>
      </c>
      <c r="S54" s="3"/>
      <c r="Z54" s="3"/>
      <c r="AA54" s="3"/>
    </row>
    <row r="55" spans="2:27" ht="15.75" customHeight="1">
      <c r="B55" s="16" t="s">
        <v>46</v>
      </c>
      <c r="C55" s="4" t="s">
        <v>585</v>
      </c>
      <c r="D55" s="3" t="s">
        <v>4634</v>
      </c>
      <c r="E55" s="16" t="s">
        <v>586</v>
      </c>
      <c r="G55" s="10"/>
      <c r="H55" s="16" t="s">
        <v>587</v>
      </c>
      <c r="J55" s="12"/>
      <c r="K55" s="16" t="s">
        <v>588</v>
      </c>
      <c r="M55" s="3"/>
      <c r="N55" s="16" t="s">
        <v>589</v>
      </c>
      <c r="P55" s="3"/>
      <c r="Q55" s="16" t="s">
        <v>1490</v>
      </c>
      <c r="S55" s="3"/>
      <c r="Z55" s="3"/>
      <c r="AA55" s="3"/>
    </row>
    <row r="56" spans="2:27" ht="15.75" customHeight="1">
      <c r="B56" s="16" t="s">
        <v>47</v>
      </c>
      <c r="C56" s="4" t="s">
        <v>590</v>
      </c>
      <c r="D56" s="3" t="s">
        <v>4635</v>
      </c>
      <c r="E56" s="16" t="s">
        <v>591</v>
      </c>
      <c r="G56" s="10"/>
      <c r="H56" s="16" t="s">
        <v>592</v>
      </c>
      <c r="J56" s="12"/>
      <c r="K56" s="16" t="s">
        <v>593</v>
      </c>
      <c r="M56" s="3"/>
      <c r="N56" s="16" t="s">
        <v>594</v>
      </c>
      <c r="P56" s="3"/>
      <c r="Q56" s="16" t="s">
        <v>1491</v>
      </c>
      <c r="S56" s="3"/>
      <c r="Z56" s="3"/>
      <c r="AA56" s="3"/>
    </row>
    <row r="57" spans="2:27" ht="15.75" customHeight="1">
      <c r="B57" s="16" t="s">
        <v>48</v>
      </c>
      <c r="C57" s="4" t="s">
        <v>595</v>
      </c>
      <c r="D57" s="3" t="s">
        <v>4631</v>
      </c>
      <c r="E57" s="16" t="s">
        <v>596</v>
      </c>
      <c r="G57" s="10"/>
      <c r="H57" s="16" t="s">
        <v>597</v>
      </c>
      <c r="J57" s="12"/>
      <c r="K57" s="16" t="s">
        <v>598</v>
      </c>
      <c r="M57" s="3"/>
      <c r="N57" s="16" t="s">
        <v>599</v>
      </c>
      <c r="P57" s="3"/>
      <c r="Q57" s="16" t="s">
        <v>1492</v>
      </c>
      <c r="S57" s="3"/>
      <c r="Z57" s="3"/>
      <c r="AA57" s="3"/>
    </row>
    <row r="58" spans="2:27" ht="15.75" customHeight="1">
      <c r="B58" s="16" t="s">
        <v>49</v>
      </c>
      <c r="C58" s="4" t="s">
        <v>600</v>
      </c>
      <c r="D58" s="3" t="s">
        <v>4636</v>
      </c>
      <c r="E58" s="16" t="s">
        <v>601</v>
      </c>
      <c r="G58" s="10"/>
      <c r="H58" s="16" t="s">
        <v>602</v>
      </c>
      <c r="J58" s="12"/>
      <c r="K58" s="16" t="s">
        <v>603</v>
      </c>
      <c r="M58" s="3"/>
      <c r="N58" s="16" t="s">
        <v>604</v>
      </c>
      <c r="P58" s="3"/>
      <c r="Q58" s="16" t="s">
        <v>1493</v>
      </c>
      <c r="R58" s="4" t="s">
        <v>605</v>
      </c>
      <c r="S58" s="3"/>
      <c r="Z58" s="3"/>
      <c r="AA58" s="3"/>
    </row>
    <row r="59" spans="2:27" ht="15.75" customHeight="1">
      <c r="B59" s="16" t="s">
        <v>50</v>
      </c>
      <c r="D59" s="3"/>
      <c r="E59" s="16" t="s">
        <v>606</v>
      </c>
      <c r="G59" s="10"/>
      <c r="H59" s="16" t="s">
        <v>607</v>
      </c>
      <c r="J59" s="12"/>
      <c r="K59" s="16" t="s">
        <v>608</v>
      </c>
      <c r="M59" s="3"/>
      <c r="N59" s="16" t="s">
        <v>609</v>
      </c>
      <c r="P59" s="3"/>
      <c r="Q59" s="16" t="s">
        <v>1494</v>
      </c>
      <c r="R59" s="4" t="s">
        <v>610</v>
      </c>
      <c r="S59" s="3"/>
      <c r="Z59" s="3"/>
      <c r="AA59" s="3"/>
    </row>
    <row r="60" spans="2:27" ht="15.75" customHeight="1">
      <c r="B60" s="16" t="s">
        <v>1868</v>
      </c>
      <c r="C60" s="8" t="s">
        <v>611</v>
      </c>
      <c r="D60" s="3" t="s">
        <v>4637</v>
      </c>
      <c r="E60" s="16" t="s">
        <v>612</v>
      </c>
      <c r="G60" s="10"/>
      <c r="H60" s="16" t="s">
        <v>613</v>
      </c>
      <c r="J60" s="12"/>
      <c r="K60" s="16" t="s">
        <v>614</v>
      </c>
      <c r="M60" s="3"/>
      <c r="N60" s="16" t="s">
        <v>615</v>
      </c>
      <c r="P60" s="3"/>
      <c r="Q60" s="16" t="s">
        <v>1495</v>
      </c>
      <c r="R60" s="4" t="s">
        <v>616</v>
      </c>
      <c r="S60" s="3"/>
      <c r="Z60" s="3"/>
      <c r="AA60" s="3"/>
    </row>
    <row r="61" spans="2:27" ht="15.75" customHeight="1">
      <c r="B61" s="16" t="s">
        <v>51</v>
      </c>
      <c r="C61" s="4" t="s">
        <v>617</v>
      </c>
      <c r="D61" s="3" t="s">
        <v>4638</v>
      </c>
      <c r="E61" s="16" t="s">
        <v>618</v>
      </c>
      <c r="G61" s="10"/>
      <c r="H61" s="16" t="s">
        <v>619</v>
      </c>
      <c r="J61" s="12"/>
      <c r="K61" s="16" t="s">
        <v>620</v>
      </c>
      <c r="M61" s="3"/>
      <c r="N61" s="16" t="s">
        <v>621</v>
      </c>
      <c r="P61" s="3"/>
      <c r="Q61" s="16" t="s">
        <v>1496</v>
      </c>
      <c r="R61" s="4" t="s">
        <v>622</v>
      </c>
      <c r="S61" s="3"/>
      <c r="Z61" s="3"/>
      <c r="AA61" s="3"/>
    </row>
    <row r="62" spans="2:27" ht="15.75" customHeight="1">
      <c r="B62" s="16" t="s">
        <v>52</v>
      </c>
      <c r="C62" s="8" t="s">
        <v>1433</v>
      </c>
      <c r="D62" s="3" t="s">
        <v>4639</v>
      </c>
      <c r="E62" s="16" t="s">
        <v>623</v>
      </c>
      <c r="G62" s="10"/>
      <c r="H62" s="16" t="s">
        <v>624</v>
      </c>
      <c r="J62" s="12"/>
      <c r="K62" s="16" t="s">
        <v>625</v>
      </c>
      <c r="M62" s="3"/>
      <c r="N62" s="16" t="s">
        <v>626</v>
      </c>
      <c r="P62" s="3"/>
      <c r="Q62" s="16" t="s">
        <v>1497</v>
      </c>
      <c r="R62" s="4" t="s">
        <v>627</v>
      </c>
      <c r="S62" s="3"/>
      <c r="Z62" s="3"/>
      <c r="AA62" s="3"/>
    </row>
    <row r="63" spans="2:27" ht="15.75" customHeight="1">
      <c r="B63" s="16" t="s">
        <v>53</v>
      </c>
      <c r="C63" s="4" t="s">
        <v>244</v>
      </c>
      <c r="D63" s="3" t="s">
        <v>4640</v>
      </c>
      <c r="E63" s="16" t="s">
        <v>628</v>
      </c>
      <c r="G63" s="10"/>
      <c r="H63" s="16" t="s">
        <v>629</v>
      </c>
      <c r="J63" s="12"/>
      <c r="K63" s="16" t="s">
        <v>630</v>
      </c>
      <c r="M63" s="3"/>
      <c r="N63" s="16" t="s">
        <v>631</v>
      </c>
      <c r="P63" s="3"/>
      <c r="Q63" s="16" t="s">
        <v>1498</v>
      </c>
      <c r="R63" s="4" t="s">
        <v>632</v>
      </c>
      <c r="S63" s="3"/>
      <c r="Z63" s="3"/>
      <c r="AA63" s="3"/>
    </row>
    <row r="64" spans="2:27" ht="15.75" customHeight="1">
      <c r="B64" s="16" t="s">
        <v>54</v>
      </c>
      <c r="C64" s="4" t="s">
        <v>633</v>
      </c>
      <c r="D64" s="3" t="s">
        <v>3808</v>
      </c>
      <c r="E64" s="16" t="s">
        <v>634</v>
      </c>
      <c r="G64" s="10"/>
      <c r="H64" s="16" t="s">
        <v>635</v>
      </c>
      <c r="J64" s="12"/>
      <c r="K64" s="16" t="s">
        <v>636</v>
      </c>
      <c r="M64" s="3"/>
      <c r="N64" s="16" t="s">
        <v>637</v>
      </c>
      <c r="P64" s="3"/>
      <c r="Q64" s="16" t="s">
        <v>1499</v>
      </c>
      <c r="R64" s="4" t="s">
        <v>638</v>
      </c>
      <c r="S64" s="3"/>
      <c r="Z64" s="3"/>
      <c r="AA64" s="3"/>
    </row>
    <row r="65" spans="2:27" ht="15.75" customHeight="1">
      <c r="B65" s="16" t="s">
        <v>55</v>
      </c>
      <c r="C65" s="4" t="s">
        <v>639</v>
      </c>
      <c r="D65" s="3" t="s">
        <v>1681</v>
      </c>
      <c r="E65" s="16" t="s">
        <v>640</v>
      </c>
      <c r="F65" s="4" t="s">
        <v>641</v>
      </c>
      <c r="G65" s="10">
        <v>500000</v>
      </c>
      <c r="H65" s="16" t="s">
        <v>642</v>
      </c>
      <c r="I65" s="4" t="s">
        <v>643</v>
      </c>
      <c r="J65" s="12">
        <v>45562</v>
      </c>
      <c r="K65" s="16" t="s">
        <v>644</v>
      </c>
      <c r="M65" s="3"/>
      <c r="N65" s="16" t="s">
        <v>645</v>
      </c>
      <c r="P65" s="3"/>
      <c r="Q65" s="16" t="s">
        <v>1500</v>
      </c>
      <c r="R65" s="4" t="s">
        <v>1663</v>
      </c>
      <c r="S65" s="3"/>
      <c r="Z65" s="3"/>
      <c r="AA65" s="3"/>
    </row>
    <row r="66" spans="2:27" ht="15.75" customHeight="1">
      <c r="B66" s="16" t="s">
        <v>56</v>
      </c>
      <c r="C66" s="4" t="s">
        <v>245</v>
      </c>
      <c r="D66" s="3" t="s">
        <v>1682</v>
      </c>
      <c r="E66" s="16" t="s">
        <v>646</v>
      </c>
      <c r="F66" s="4" t="s">
        <v>647</v>
      </c>
      <c r="G66" s="10">
        <v>10</v>
      </c>
      <c r="H66" s="16" t="s">
        <v>648</v>
      </c>
      <c r="J66" s="12"/>
      <c r="K66" s="16" t="s">
        <v>649</v>
      </c>
      <c r="M66" s="3"/>
      <c r="N66" s="16" t="s">
        <v>650</v>
      </c>
      <c r="P66" s="3"/>
      <c r="Q66" s="16" t="s">
        <v>1501</v>
      </c>
      <c r="S66" s="3"/>
      <c r="Z66" s="3"/>
      <c r="AA66" s="3"/>
    </row>
    <row r="67" spans="2:27" ht="15.75" customHeight="1">
      <c r="B67" s="16" t="s">
        <v>57</v>
      </c>
      <c r="C67" s="4" t="s">
        <v>651</v>
      </c>
      <c r="D67" s="3" t="s">
        <v>4641</v>
      </c>
      <c r="E67" s="16" t="s">
        <v>652</v>
      </c>
      <c r="F67" s="4" t="s">
        <v>653</v>
      </c>
      <c r="G67" s="10">
        <v>39732317</v>
      </c>
      <c r="H67" s="16" t="s">
        <v>654</v>
      </c>
      <c r="J67" s="12"/>
      <c r="K67" s="16" t="s">
        <v>655</v>
      </c>
      <c r="M67" s="3"/>
      <c r="N67" s="16" t="s">
        <v>656</v>
      </c>
      <c r="P67" s="3"/>
      <c r="Q67" s="16" t="s">
        <v>1502</v>
      </c>
      <c r="S67" s="3"/>
      <c r="Z67" s="3"/>
      <c r="AA67" s="3"/>
    </row>
    <row r="68" spans="2:27" ht="15.75" customHeight="1">
      <c r="B68" s="16" t="s">
        <v>58</v>
      </c>
      <c r="C68" s="4" t="s">
        <v>657</v>
      </c>
      <c r="D68" s="3" t="s">
        <v>3773</v>
      </c>
      <c r="E68" s="16" t="s">
        <v>658</v>
      </c>
      <c r="F68" s="4" t="s">
        <v>659</v>
      </c>
      <c r="G68" s="10">
        <v>3612028</v>
      </c>
      <c r="H68" s="16" t="s">
        <v>660</v>
      </c>
      <c r="J68" s="12"/>
      <c r="K68" s="16" t="s">
        <v>661</v>
      </c>
      <c r="M68" s="3"/>
      <c r="N68" s="16" t="s">
        <v>662</v>
      </c>
      <c r="P68" s="3"/>
      <c r="Q68" s="16" t="s">
        <v>1503</v>
      </c>
      <c r="S68" s="3"/>
      <c r="Z68" s="3"/>
      <c r="AA68" s="3"/>
    </row>
    <row r="69" spans="2:27" ht="15.75" customHeight="1">
      <c r="B69" s="16" t="s">
        <v>59</v>
      </c>
      <c r="C69" s="4" t="s">
        <v>663</v>
      </c>
      <c r="D69" s="3" t="s">
        <v>3825</v>
      </c>
      <c r="E69" s="16" t="s">
        <v>664</v>
      </c>
      <c r="F69" s="4" t="s">
        <v>665</v>
      </c>
      <c r="G69" s="10">
        <v>36120289</v>
      </c>
      <c r="H69" s="16" t="s">
        <v>666</v>
      </c>
      <c r="J69" s="12"/>
      <c r="K69" s="16" t="s">
        <v>667</v>
      </c>
      <c r="M69" s="3"/>
      <c r="N69" s="16" t="s">
        <v>668</v>
      </c>
      <c r="P69" s="3"/>
      <c r="Q69" s="16" t="s">
        <v>1504</v>
      </c>
      <c r="S69" s="3"/>
      <c r="Z69" s="3"/>
      <c r="AA69" s="3"/>
    </row>
    <row r="70" spans="2:27" ht="15.75" customHeight="1">
      <c r="B70" s="16" t="s">
        <v>60</v>
      </c>
      <c r="C70" s="4" t="s">
        <v>669</v>
      </c>
      <c r="D70" s="3" t="s">
        <v>4642</v>
      </c>
      <c r="E70" s="16" t="s">
        <v>670</v>
      </c>
      <c r="G70" s="10"/>
      <c r="H70" s="16" t="s">
        <v>671</v>
      </c>
      <c r="J70" s="12"/>
      <c r="K70" s="16" t="s">
        <v>672</v>
      </c>
      <c r="M70" s="3"/>
      <c r="N70" s="16" t="s">
        <v>673</v>
      </c>
      <c r="P70" s="3"/>
      <c r="Q70" s="16" t="s">
        <v>1505</v>
      </c>
      <c r="S70" s="3"/>
      <c r="Z70" s="3"/>
      <c r="AA70" s="3"/>
    </row>
    <row r="71" spans="2:27" ht="15.75" customHeight="1">
      <c r="B71" s="16" t="s">
        <v>61</v>
      </c>
      <c r="D71" s="3"/>
      <c r="E71" s="16" t="s">
        <v>674</v>
      </c>
      <c r="G71" s="10"/>
      <c r="H71" s="16" t="s">
        <v>675</v>
      </c>
      <c r="J71" s="12"/>
      <c r="K71" s="16" t="s">
        <v>676</v>
      </c>
      <c r="M71" s="3"/>
      <c r="N71" s="16" t="s">
        <v>677</v>
      </c>
      <c r="P71" s="3"/>
      <c r="Q71" s="16" t="s">
        <v>1506</v>
      </c>
      <c r="S71" s="3"/>
      <c r="Z71" s="3"/>
      <c r="AA71" s="3"/>
    </row>
    <row r="72" spans="2:27" ht="15.75" customHeight="1">
      <c r="B72" s="16" t="s">
        <v>62</v>
      </c>
      <c r="C72" s="4" t="s">
        <v>678</v>
      </c>
      <c r="D72" s="3" t="s">
        <v>1678</v>
      </c>
      <c r="E72" s="16" t="s">
        <v>679</v>
      </c>
      <c r="F72" s="4" t="s">
        <v>680</v>
      </c>
      <c r="G72" s="10">
        <v>34822811</v>
      </c>
      <c r="H72" s="16" t="s">
        <v>681</v>
      </c>
      <c r="J72" s="12"/>
      <c r="K72" s="16" t="s">
        <v>682</v>
      </c>
      <c r="M72" s="3"/>
      <c r="N72" s="16" t="s">
        <v>683</v>
      </c>
      <c r="P72" s="3"/>
      <c r="Q72" s="16" t="s">
        <v>1507</v>
      </c>
      <c r="S72" s="3"/>
      <c r="Z72" s="3"/>
      <c r="AA72" s="3"/>
    </row>
    <row r="73" spans="2:27" ht="15.75" customHeight="1">
      <c r="B73" s="16" t="s">
        <v>63</v>
      </c>
      <c r="C73" s="4" t="s">
        <v>684</v>
      </c>
      <c r="D73" s="3" t="s">
        <v>4643</v>
      </c>
      <c r="E73" s="16" t="s">
        <v>685</v>
      </c>
      <c r="F73" s="4" t="s">
        <v>686</v>
      </c>
      <c r="G73" s="10">
        <v>-1734322</v>
      </c>
      <c r="H73" s="16" t="s">
        <v>687</v>
      </c>
      <c r="J73" s="12"/>
      <c r="K73" s="16" t="s">
        <v>688</v>
      </c>
      <c r="M73" s="3"/>
      <c r="N73" s="16" t="s">
        <v>689</v>
      </c>
      <c r="P73" s="3"/>
      <c r="Q73" s="16" t="s">
        <v>1508</v>
      </c>
      <c r="S73" s="3"/>
      <c r="Z73" s="3"/>
      <c r="AA73" s="3"/>
    </row>
    <row r="74" spans="2:27" ht="15.75" customHeight="1">
      <c r="B74" s="16" t="s">
        <v>64</v>
      </c>
      <c r="D74" s="3" t="s">
        <v>1684</v>
      </c>
      <c r="E74" s="16" t="s">
        <v>690</v>
      </c>
      <c r="F74" s="4" t="s">
        <v>691</v>
      </c>
      <c r="G74" s="10">
        <v>3031800</v>
      </c>
      <c r="H74" s="16" t="s">
        <v>692</v>
      </c>
      <c r="J74" s="12"/>
      <c r="K74" s="16" t="s">
        <v>693</v>
      </c>
      <c r="M74" s="3"/>
      <c r="N74" s="16" t="s">
        <v>694</v>
      </c>
      <c r="P74" s="3"/>
      <c r="Q74" s="16" t="s">
        <v>1509</v>
      </c>
      <c r="S74" s="3"/>
      <c r="Z74" s="3"/>
      <c r="AA74" s="3"/>
    </row>
    <row r="75" spans="2:27" ht="15.75" customHeight="1">
      <c r="B75" s="16" t="s">
        <v>65</v>
      </c>
      <c r="D75" s="3" t="s">
        <v>4591</v>
      </c>
      <c r="E75" s="16" t="s">
        <v>695</v>
      </c>
      <c r="G75" s="10"/>
      <c r="H75" s="16" t="s">
        <v>696</v>
      </c>
      <c r="J75" s="12"/>
      <c r="K75" s="16" t="s">
        <v>697</v>
      </c>
      <c r="M75" s="3"/>
      <c r="N75" s="16" t="s">
        <v>698</v>
      </c>
      <c r="P75" s="3"/>
      <c r="Q75" s="16" t="s">
        <v>1510</v>
      </c>
      <c r="S75" s="3"/>
      <c r="Z75" s="3"/>
      <c r="AA75" s="3"/>
    </row>
    <row r="76" spans="2:27" ht="15.75" customHeight="1">
      <c r="B76" s="16" t="s">
        <v>66</v>
      </c>
      <c r="C76" s="4" t="s">
        <v>246</v>
      </c>
      <c r="D76" s="3" t="s">
        <v>317</v>
      </c>
      <c r="E76" s="16" t="s">
        <v>699</v>
      </c>
      <c r="G76" s="10"/>
      <c r="H76" s="16" t="s">
        <v>700</v>
      </c>
      <c r="J76" s="12"/>
      <c r="K76" s="16" t="s">
        <v>701</v>
      </c>
      <c r="M76" s="3"/>
      <c r="N76" s="16" t="s">
        <v>702</v>
      </c>
      <c r="P76" s="3"/>
      <c r="Q76" s="16" t="s">
        <v>1511</v>
      </c>
      <c r="S76" s="3"/>
      <c r="Z76" s="3"/>
      <c r="AA76" s="3"/>
    </row>
    <row r="77" spans="2:27" ht="15.75" customHeight="1">
      <c r="B77" s="16" t="s">
        <v>67</v>
      </c>
      <c r="C77" s="4" t="s">
        <v>247</v>
      </c>
      <c r="D77" s="3" t="s">
        <v>1683</v>
      </c>
      <c r="E77" s="16" t="s">
        <v>703</v>
      </c>
      <c r="F77" s="4" t="s">
        <v>704</v>
      </c>
      <c r="G77" s="10">
        <v>39732317</v>
      </c>
      <c r="H77" s="16" t="s">
        <v>705</v>
      </c>
      <c r="J77" s="12"/>
      <c r="K77" s="16" t="s">
        <v>706</v>
      </c>
      <c r="L77" s="4" t="s">
        <v>707</v>
      </c>
      <c r="M77" s="2" t="s">
        <v>317</v>
      </c>
      <c r="N77" s="16" t="s">
        <v>708</v>
      </c>
      <c r="P77" s="3"/>
      <c r="Q77" s="16" t="s">
        <v>1512</v>
      </c>
      <c r="S77" s="3"/>
      <c r="Z77" s="3"/>
      <c r="AA77" s="3"/>
    </row>
    <row r="78" spans="2:27" ht="15.75" customHeight="1">
      <c r="B78" s="16" t="s">
        <v>68</v>
      </c>
      <c r="C78" s="4" t="s">
        <v>248</v>
      </c>
      <c r="D78" s="3" t="s">
        <v>4644</v>
      </c>
      <c r="E78" s="16" t="s">
        <v>709</v>
      </c>
      <c r="F78" s="4" t="s">
        <v>710</v>
      </c>
      <c r="G78" s="10">
        <v>0</v>
      </c>
      <c r="H78" s="16" t="s">
        <v>711</v>
      </c>
      <c r="J78" s="12"/>
      <c r="K78" s="16" t="s">
        <v>712</v>
      </c>
      <c r="M78" s="3"/>
      <c r="N78" s="16" t="s">
        <v>713</v>
      </c>
      <c r="P78" s="3"/>
      <c r="Q78" s="16" t="s">
        <v>1513</v>
      </c>
      <c r="R78" s="4" t="s">
        <v>714</v>
      </c>
      <c r="S78" s="3"/>
      <c r="Z78" s="3"/>
      <c r="AA78" s="3"/>
    </row>
    <row r="79" spans="2:27" ht="15.75" customHeight="1">
      <c r="B79" s="16" t="s">
        <v>69</v>
      </c>
      <c r="C79" s="4" t="s">
        <v>249</v>
      </c>
      <c r="D79" s="3" t="s">
        <v>1683</v>
      </c>
      <c r="E79" s="16" t="s">
        <v>715</v>
      </c>
      <c r="G79" s="10"/>
      <c r="H79" s="16" t="s">
        <v>716</v>
      </c>
      <c r="J79" s="12"/>
      <c r="K79" s="16" t="s">
        <v>717</v>
      </c>
      <c r="M79" s="3"/>
      <c r="N79" s="16" t="s">
        <v>718</v>
      </c>
      <c r="P79" s="3"/>
      <c r="Q79" s="16" t="s">
        <v>1514</v>
      </c>
      <c r="R79" s="4" t="s">
        <v>719</v>
      </c>
      <c r="S79" s="3"/>
      <c r="Z79" s="3"/>
      <c r="AA79" s="3"/>
    </row>
    <row r="80" spans="2:27" ht="15.75" customHeight="1">
      <c r="B80" s="16" t="s">
        <v>70</v>
      </c>
      <c r="D80" s="3"/>
      <c r="E80" s="16" t="s">
        <v>720</v>
      </c>
      <c r="F80" s="4" t="s">
        <v>721</v>
      </c>
      <c r="G80" s="10">
        <v>0</v>
      </c>
      <c r="H80" s="16" t="s">
        <v>722</v>
      </c>
      <c r="J80" s="12"/>
      <c r="K80" s="16" t="s">
        <v>723</v>
      </c>
      <c r="M80" s="3"/>
      <c r="N80" s="16" t="s">
        <v>724</v>
      </c>
      <c r="P80" s="3"/>
      <c r="Q80" s="16" t="s">
        <v>1515</v>
      </c>
      <c r="S80" s="3"/>
      <c r="Z80" s="3"/>
      <c r="AA80" s="3"/>
    </row>
    <row r="81" spans="2:27" ht="15.75" customHeight="1">
      <c r="B81" s="16" t="s">
        <v>71</v>
      </c>
      <c r="C81" s="4" t="s">
        <v>250</v>
      </c>
      <c r="D81" s="3" t="s">
        <v>317</v>
      </c>
      <c r="E81" s="16" t="s">
        <v>725</v>
      </c>
      <c r="G81" s="10"/>
      <c r="H81" s="16" t="s">
        <v>726</v>
      </c>
      <c r="J81" s="12"/>
      <c r="K81" s="16" t="s">
        <v>727</v>
      </c>
      <c r="M81" s="3"/>
      <c r="N81" s="16" t="s">
        <v>728</v>
      </c>
      <c r="P81" s="3"/>
      <c r="Q81" s="16" t="s">
        <v>1516</v>
      </c>
      <c r="S81" s="3"/>
      <c r="Z81" s="3"/>
      <c r="AA81" s="3"/>
    </row>
    <row r="82" spans="2:27" ht="15.75" customHeight="1">
      <c r="B82" s="16" t="s">
        <v>72</v>
      </c>
      <c r="C82" s="4" t="s">
        <v>251</v>
      </c>
      <c r="D82" s="3" t="s">
        <v>317</v>
      </c>
      <c r="E82" s="16" t="s">
        <v>729</v>
      </c>
      <c r="G82" s="10"/>
      <c r="H82" s="16" t="s">
        <v>730</v>
      </c>
      <c r="J82" s="12"/>
      <c r="K82" s="16" t="s">
        <v>731</v>
      </c>
      <c r="M82" s="3"/>
      <c r="N82" s="16" t="s">
        <v>732</v>
      </c>
      <c r="P82" s="3"/>
      <c r="Q82" s="16" t="s">
        <v>1517</v>
      </c>
      <c r="S82" s="3"/>
      <c r="Z82" s="3"/>
      <c r="AA82" s="3"/>
    </row>
    <row r="83" spans="2:27" ht="15.75" customHeight="1">
      <c r="B83" s="16" t="s">
        <v>73</v>
      </c>
      <c r="C83" s="4" t="s">
        <v>252</v>
      </c>
      <c r="D83" s="3" t="s">
        <v>317</v>
      </c>
      <c r="E83" s="16" t="s">
        <v>733</v>
      </c>
      <c r="G83" s="10"/>
      <c r="H83" s="16" t="s">
        <v>734</v>
      </c>
      <c r="J83" s="12"/>
      <c r="K83" s="16" t="s">
        <v>735</v>
      </c>
      <c r="M83" s="3"/>
      <c r="N83" s="16" t="s">
        <v>736</v>
      </c>
      <c r="P83" s="3"/>
      <c r="Q83" s="16" t="s">
        <v>1518</v>
      </c>
      <c r="R83" s="4" t="s">
        <v>737</v>
      </c>
      <c r="S83" s="3"/>
      <c r="Z83" s="3"/>
      <c r="AA83" s="3"/>
    </row>
    <row r="84" spans="2:27" ht="15.75" customHeight="1">
      <c r="B84" s="16" t="s">
        <v>74</v>
      </c>
      <c r="C84" s="4" t="s">
        <v>253</v>
      </c>
      <c r="D84" s="3" t="s">
        <v>317</v>
      </c>
      <c r="E84" s="16" t="s">
        <v>738</v>
      </c>
      <c r="G84" s="10"/>
      <c r="H84" s="16" t="s">
        <v>739</v>
      </c>
      <c r="J84" s="12"/>
      <c r="K84" s="16" t="s">
        <v>740</v>
      </c>
      <c r="M84" s="3"/>
      <c r="N84" s="16" t="s">
        <v>741</v>
      </c>
      <c r="P84" s="3"/>
      <c r="Q84" s="16" t="s">
        <v>1519</v>
      </c>
      <c r="R84" s="4" t="s">
        <v>742</v>
      </c>
      <c r="S84" s="3"/>
      <c r="Z84" s="3"/>
      <c r="AA84" s="3"/>
    </row>
    <row r="85" spans="2:27" ht="15.75" customHeight="1">
      <c r="B85" s="16" t="s">
        <v>75</v>
      </c>
      <c r="D85" s="3" t="s">
        <v>317</v>
      </c>
      <c r="E85" s="16" t="s">
        <v>743</v>
      </c>
      <c r="G85" s="10"/>
      <c r="H85" s="16" t="s">
        <v>744</v>
      </c>
      <c r="J85" s="12"/>
      <c r="K85" s="16" t="s">
        <v>745</v>
      </c>
      <c r="M85" s="3"/>
      <c r="N85" s="16" t="s">
        <v>746</v>
      </c>
      <c r="P85" s="3"/>
      <c r="Q85" s="16" t="s">
        <v>1520</v>
      </c>
      <c r="R85" s="4" t="s">
        <v>747</v>
      </c>
      <c r="S85" s="3"/>
      <c r="Z85" s="3"/>
      <c r="AA85" s="3"/>
    </row>
    <row r="86" spans="2:27" ht="15.75" customHeight="1">
      <c r="B86" s="16" t="s">
        <v>76</v>
      </c>
      <c r="D86" s="3" t="s">
        <v>317</v>
      </c>
      <c r="E86" s="16" t="s">
        <v>748</v>
      </c>
      <c r="G86" s="10"/>
      <c r="H86" s="16" t="s">
        <v>749</v>
      </c>
      <c r="J86" s="12"/>
      <c r="K86" s="16" t="s">
        <v>750</v>
      </c>
      <c r="M86" s="3"/>
      <c r="N86" s="16" t="s">
        <v>751</v>
      </c>
      <c r="P86" s="3"/>
      <c r="Q86" s="16" t="s">
        <v>1521</v>
      </c>
      <c r="R86" s="4" t="s">
        <v>752</v>
      </c>
      <c r="S86" s="3"/>
      <c r="Z86" s="3"/>
      <c r="AA86" s="3"/>
    </row>
    <row r="87" spans="2:27" ht="15.75" customHeight="1">
      <c r="B87" s="16" t="s">
        <v>77</v>
      </c>
      <c r="D87" s="3" t="s">
        <v>317</v>
      </c>
      <c r="E87" s="16" t="s">
        <v>753</v>
      </c>
      <c r="G87" s="10"/>
      <c r="H87" s="16" t="s">
        <v>754</v>
      </c>
      <c r="J87" s="12"/>
      <c r="K87" s="16" t="s">
        <v>755</v>
      </c>
      <c r="M87" s="3"/>
      <c r="N87" s="16" t="s">
        <v>756</v>
      </c>
      <c r="P87" s="3"/>
      <c r="Q87" s="16" t="s">
        <v>1522</v>
      </c>
      <c r="R87" s="4" t="s">
        <v>757</v>
      </c>
      <c r="S87" s="3"/>
      <c r="Z87" s="3"/>
      <c r="AA87" s="3"/>
    </row>
    <row r="88" spans="2:27" ht="15.75" customHeight="1">
      <c r="B88" s="16" t="s">
        <v>78</v>
      </c>
      <c r="C88" s="4" t="s">
        <v>758</v>
      </c>
      <c r="D88" s="3" t="s">
        <v>4645</v>
      </c>
      <c r="E88" s="16" t="s">
        <v>759</v>
      </c>
      <c r="F88" s="4" t="s">
        <v>3030</v>
      </c>
      <c r="G88" s="10">
        <v>34661551</v>
      </c>
      <c r="H88" s="16" t="s">
        <v>760</v>
      </c>
      <c r="I88" s="4" t="s">
        <v>761</v>
      </c>
      <c r="J88" s="12">
        <v>45801</v>
      </c>
      <c r="K88" s="16" t="s">
        <v>762</v>
      </c>
      <c r="L88" s="4" t="s">
        <v>763</v>
      </c>
      <c r="M88" s="2" t="s">
        <v>317</v>
      </c>
      <c r="N88" s="16" t="s">
        <v>764</v>
      </c>
      <c r="P88" s="3"/>
      <c r="Q88" s="16" t="s">
        <v>1523</v>
      </c>
      <c r="R88" s="4" t="s">
        <v>765</v>
      </c>
      <c r="S88" s="3"/>
      <c r="Z88" s="3"/>
      <c r="AA88" s="3"/>
    </row>
    <row r="89" spans="2:27" ht="15.75" customHeight="1">
      <c r="B89" s="16" t="s">
        <v>79</v>
      </c>
      <c r="C89" s="4" t="s">
        <v>766</v>
      </c>
      <c r="D89" s="3" t="s">
        <v>4591</v>
      </c>
      <c r="E89" s="16" t="s">
        <v>767</v>
      </c>
      <c r="F89" s="4" t="s">
        <v>3031</v>
      </c>
      <c r="G89" s="10">
        <v>7341719</v>
      </c>
      <c r="H89" s="16" t="s">
        <v>768</v>
      </c>
      <c r="I89" s="4" t="s">
        <v>769</v>
      </c>
      <c r="J89" s="12">
        <v>45857</v>
      </c>
      <c r="K89" s="16" t="s">
        <v>770</v>
      </c>
      <c r="L89" s="4" t="s">
        <v>771</v>
      </c>
      <c r="M89" s="2" t="s">
        <v>4700</v>
      </c>
      <c r="N89" s="16" t="s">
        <v>772</v>
      </c>
      <c r="P89" s="3"/>
      <c r="Q89" s="16" t="s">
        <v>1524</v>
      </c>
      <c r="R89" s="4" t="s">
        <v>773</v>
      </c>
      <c r="S89" s="3"/>
      <c r="Z89" s="3"/>
      <c r="AA89" s="3"/>
    </row>
    <row r="90" spans="2:27" ht="15.75" customHeight="1">
      <c r="B90" s="16" t="s">
        <v>80</v>
      </c>
      <c r="C90" s="4" t="s">
        <v>774</v>
      </c>
      <c r="D90" s="3" t="s">
        <v>1679</v>
      </c>
      <c r="E90" s="16" t="s">
        <v>775</v>
      </c>
      <c r="F90" s="4" t="s">
        <v>3032</v>
      </c>
      <c r="G90" s="10">
        <v>21.1</v>
      </c>
      <c r="H90" s="16" t="s">
        <v>776</v>
      </c>
      <c r="I90" s="4" t="s">
        <v>777</v>
      </c>
      <c r="J90" s="12">
        <v>45865</v>
      </c>
      <c r="K90" s="16" t="s">
        <v>778</v>
      </c>
      <c r="L90" s="4" t="s">
        <v>779</v>
      </c>
      <c r="M90" s="2" t="s">
        <v>4701</v>
      </c>
      <c r="N90" s="16" t="s">
        <v>780</v>
      </c>
      <c r="P90" s="3"/>
      <c r="Q90" s="16" t="s">
        <v>1525</v>
      </c>
      <c r="R90" s="4" t="s">
        <v>781</v>
      </c>
      <c r="S90" s="3"/>
      <c r="Z90" s="3"/>
      <c r="AA90" s="3"/>
    </row>
    <row r="91" spans="2:27" ht="15.75" customHeight="1">
      <c r="B91" s="16" t="s">
        <v>81</v>
      </c>
      <c r="C91" s="4" t="s">
        <v>782</v>
      </c>
      <c r="D91" s="3" t="s">
        <v>1678</v>
      </c>
      <c r="E91" s="16" t="s">
        <v>783</v>
      </c>
      <c r="F91" s="4" t="s">
        <v>784</v>
      </c>
      <c r="G91" s="10">
        <v>36120289</v>
      </c>
      <c r="H91" s="16" t="s">
        <v>785</v>
      </c>
      <c r="I91" s="4" t="s">
        <v>786</v>
      </c>
      <c r="J91" s="12">
        <v>45870</v>
      </c>
      <c r="K91" s="16" t="s">
        <v>787</v>
      </c>
      <c r="M91" s="3"/>
      <c r="N91" s="16" t="s">
        <v>788</v>
      </c>
      <c r="P91" s="3"/>
      <c r="Q91" s="16" t="s">
        <v>1526</v>
      </c>
      <c r="R91" s="4" t="s">
        <v>789</v>
      </c>
      <c r="S91" s="3"/>
      <c r="Z91" s="3"/>
      <c r="AA91" s="3"/>
    </row>
    <row r="92" spans="2:27" ht="15.75" customHeight="1">
      <c r="B92" s="16" t="s">
        <v>82</v>
      </c>
      <c r="C92" s="4" t="s">
        <v>790</v>
      </c>
      <c r="D92" s="3" t="s">
        <v>4646</v>
      </c>
      <c r="E92" s="16" t="s">
        <v>791</v>
      </c>
      <c r="F92" s="4" t="s">
        <v>792</v>
      </c>
      <c r="G92" s="10">
        <v>7620967</v>
      </c>
      <c r="H92" s="16" t="s">
        <v>793</v>
      </c>
      <c r="I92" s="4" t="s">
        <v>794</v>
      </c>
      <c r="J92" s="12">
        <v>45842</v>
      </c>
      <c r="K92" s="16" t="s">
        <v>795</v>
      </c>
      <c r="M92" s="3"/>
      <c r="N92" s="16" t="s">
        <v>796</v>
      </c>
      <c r="P92" s="3"/>
      <c r="Q92" s="16" t="s">
        <v>1527</v>
      </c>
      <c r="R92" s="4" t="s">
        <v>797</v>
      </c>
      <c r="S92" s="3"/>
      <c r="Z92" s="3"/>
      <c r="AA92" s="3"/>
    </row>
    <row r="93" spans="2:27" ht="15.75" customHeight="1">
      <c r="B93" s="16" t="s">
        <v>83</v>
      </c>
      <c r="C93" s="4" t="s">
        <v>798</v>
      </c>
      <c r="D93" s="3" t="s">
        <v>4647</v>
      </c>
      <c r="E93" s="16" t="s">
        <v>799</v>
      </c>
      <c r="F93" s="4" t="s">
        <v>800</v>
      </c>
      <c r="G93" s="10">
        <v>21</v>
      </c>
      <c r="H93" s="16" t="s">
        <v>801</v>
      </c>
      <c r="I93" s="4" t="s">
        <v>802</v>
      </c>
      <c r="J93" s="12">
        <v>45872</v>
      </c>
      <c r="K93" s="16" t="s">
        <v>803</v>
      </c>
      <c r="M93" s="3"/>
      <c r="N93" s="16" t="s">
        <v>804</v>
      </c>
      <c r="P93" s="3"/>
      <c r="Q93" s="16" t="s">
        <v>1528</v>
      </c>
      <c r="S93" s="3"/>
      <c r="Z93" s="3"/>
      <c r="AA93" s="3"/>
    </row>
    <row r="94" spans="2:27" ht="15.75" customHeight="1">
      <c r="B94" s="16" t="s">
        <v>84</v>
      </c>
      <c r="C94" s="4" t="s">
        <v>805</v>
      </c>
      <c r="D94" s="3" t="s">
        <v>4648</v>
      </c>
      <c r="E94" s="16" t="s">
        <v>806</v>
      </c>
      <c r="G94" s="10"/>
      <c r="H94" s="16" t="s">
        <v>807</v>
      </c>
      <c r="I94" s="4" t="s">
        <v>808</v>
      </c>
      <c r="J94" s="12"/>
      <c r="K94" s="16" t="s">
        <v>809</v>
      </c>
      <c r="M94" s="3"/>
      <c r="N94" s="16" t="s">
        <v>810</v>
      </c>
      <c r="P94" s="3"/>
      <c r="Q94" s="16" t="s">
        <v>1529</v>
      </c>
      <c r="S94" s="3"/>
      <c r="Z94" s="3"/>
      <c r="AA94" s="3"/>
    </row>
    <row r="95" spans="2:27" ht="15.75" customHeight="1">
      <c r="B95" s="16" t="s">
        <v>85</v>
      </c>
      <c r="C95" s="4" t="s">
        <v>811</v>
      </c>
      <c r="D95" s="3" t="s">
        <v>4649</v>
      </c>
      <c r="E95" s="16" t="s">
        <v>812</v>
      </c>
      <c r="G95" s="10"/>
      <c r="H95" s="16" t="s">
        <v>813</v>
      </c>
      <c r="I95" s="4" t="s">
        <v>814</v>
      </c>
      <c r="J95" s="12"/>
      <c r="K95" s="16" t="s">
        <v>815</v>
      </c>
      <c r="M95" s="3"/>
      <c r="N95" s="16" t="s">
        <v>816</v>
      </c>
      <c r="P95" s="3"/>
      <c r="Q95" s="16" t="s">
        <v>1530</v>
      </c>
      <c r="S95" s="3"/>
      <c r="Z95" s="3"/>
      <c r="AA95" s="3"/>
    </row>
    <row r="96" spans="2:27" ht="15.75" customHeight="1">
      <c r="B96" s="16" t="s">
        <v>86</v>
      </c>
      <c r="C96" s="4" t="s">
        <v>817</v>
      </c>
      <c r="D96" s="3" t="s">
        <v>4650</v>
      </c>
      <c r="E96" s="16" t="s">
        <v>818</v>
      </c>
      <c r="G96" s="10"/>
      <c r="H96" s="16" t="s">
        <v>819</v>
      </c>
      <c r="I96" s="4" t="s">
        <v>820</v>
      </c>
      <c r="J96" s="12">
        <v>45814</v>
      </c>
      <c r="K96" s="16" t="s">
        <v>821</v>
      </c>
      <c r="M96" s="3"/>
      <c r="N96" s="16" t="s">
        <v>822</v>
      </c>
      <c r="P96" s="3"/>
      <c r="Q96" s="16" t="s">
        <v>1531</v>
      </c>
      <c r="S96" s="3"/>
      <c r="Z96" s="3"/>
      <c r="AA96" s="3"/>
    </row>
    <row r="97" spans="2:27" ht="15.75" customHeight="1">
      <c r="B97" s="16" t="s">
        <v>87</v>
      </c>
      <c r="C97" s="4" t="s">
        <v>823</v>
      </c>
      <c r="D97" s="3" t="s">
        <v>4651</v>
      </c>
      <c r="E97" s="16" t="s">
        <v>824</v>
      </c>
      <c r="G97" s="10"/>
      <c r="H97" s="16" t="s">
        <v>825</v>
      </c>
      <c r="I97" s="4" t="s">
        <v>826</v>
      </c>
      <c r="J97" s="12">
        <v>45828</v>
      </c>
      <c r="K97" s="16" t="s">
        <v>827</v>
      </c>
      <c r="M97" s="3"/>
      <c r="N97" s="16" t="s">
        <v>828</v>
      </c>
      <c r="P97" s="3"/>
      <c r="Q97" s="16" t="s">
        <v>1532</v>
      </c>
      <c r="S97" s="3"/>
      <c r="Z97" s="3"/>
      <c r="AA97" s="3"/>
    </row>
    <row r="98" spans="2:27" ht="15.75" customHeight="1">
      <c r="B98" s="16" t="s">
        <v>88</v>
      </c>
      <c r="C98" s="4" t="s">
        <v>829</v>
      </c>
      <c r="D98" s="3" t="s">
        <v>1679</v>
      </c>
      <c r="E98" s="16" t="s">
        <v>830</v>
      </c>
      <c r="F98" s="4" t="s">
        <v>3033</v>
      </c>
      <c r="G98" s="10">
        <v>28352928</v>
      </c>
      <c r="H98" s="16" t="s">
        <v>831</v>
      </c>
      <c r="I98" s="4" t="s">
        <v>832</v>
      </c>
      <c r="J98" s="12"/>
      <c r="K98" s="16" t="s">
        <v>833</v>
      </c>
      <c r="M98" s="3"/>
      <c r="N98" s="16" t="s">
        <v>834</v>
      </c>
      <c r="P98" s="3"/>
      <c r="Q98" s="16" t="s">
        <v>1533</v>
      </c>
      <c r="R98" s="4" t="s">
        <v>835</v>
      </c>
      <c r="S98" s="3"/>
      <c r="Z98" s="3"/>
      <c r="AA98" s="3"/>
    </row>
    <row r="99" spans="2:27" ht="15.75" customHeight="1">
      <c r="B99" s="16" t="s">
        <v>89</v>
      </c>
      <c r="C99" s="4" t="s">
        <v>836</v>
      </c>
      <c r="D99" s="3" t="s">
        <v>1683</v>
      </c>
      <c r="E99" s="16" t="s">
        <v>837</v>
      </c>
      <c r="F99" s="4" t="s">
        <v>3034</v>
      </c>
      <c r="G99" s="10">
        <v>5901311</v>
      </c>
      <c r="H99" s="16" t="s">
        <v>838</v>
      </c>
      <c r="I99" s="4" t="s">
        <v>839</v>
      </c>
      <c r="J99" s="12"/>
      <c r="K99" s="16" t="s">
        <v>840</v>
      </c>
      <c r="M99" s="3"/>
      <c r="N99" s="16" t="s">
        <v>841</v>
      </c>
      <c r="P99" s="3"/>
      <c r="Q99" s="16" t="s">
        <v>1534</v>
      </c>
      <c r="R99" s="4" t="s">
        <v>842</v>
      </c>
      <c r="S99" s="3"/>
      <c r="Z99" s="3"/>
      <c r="AA99" s="3"/>
    </row>
    <row r="100" spans="2:27" ht="15.75" customHeight="1">
      <c r="B100" s="16" t="s">
        <v>90</v>
      </c>
      <c r="C100" s="4" t="s">
        <v>843</v>
      </c>
      <c r="D100" s="3" t="s">
        <v>1683</v>
      </c>
      <c r="E100" s="16" t="s">
        <v>844</v>
      </c>
      <c r="F100" s="4" t="s">
        <v>3035</v>
      </c>
      <c r="G100" s="10">
        <v>20.8</v>
      </c>
      <c r="H100" s="16" t="s">
        <v>845</v>
      </c>
      <c r="J100" s="12"/>
      <c r="K100" s="16" t="s">
        <v>846</v>
      </c>
      <c r="M100" s="3"/>
      <c r="N100" s="16" t="s">
        <v>847</v>
      </c>
      <c r="P100" s="3"/>
      <c r="Q100" s="16" t="s">
        <v>1535</v>
      </c>
      <c r="S100" s="3"/>
      <c r="Z100" s="3"/>
      <c r="AA100" s="3"/>
    </row>
    <row r="101" spans="2:27" ht="15.75" customHeight="1">
      <c r="B101" s="16" t="s">
        <v>91</v>
      </c>
      <c r="C101" s="4" t="s">
        <v>254</v>
      </c>
      <c r="D101" s="3" t="s">
        <v>1678</v>
      </c>
      <c r="E101" s="16" t="s">
        <v>848</v>
      </c>
      <c r="F101" s="4" t="s">
        <v>849</v>
      </c>
      <c r="G101" s="10">
        <v>29365928</v>
      </c>
      <c r="H101" s="16" t="s">
        <v>850</v>
      </c>
      <c r="J101" s="12"/>
      <c r="K101" s="16" t="s">
        <v>851</v>
      </c>
      <c r="M101" s="3"/>
      <c r="N101" s="16" t="s">
        <v>852</v>
      </c>
      <c r="P101" s="3"/>
      <c r="Q101" s="16" t="s">
        <v>1536</v>
      </c>
      <c r="S101" s="3"/>
      <c r="Z101" s="3"/>
      <c r="AA101" s="3"/>
    </row>
    <row r="102" spans="2:27" ht="15.75" customHeight="1">
      <c r="B102" s="16" t="s">
        <v>92</v>
      </c>
      <c r="C102" s="4" t="s">
        <v>255</v>
      </c>
      <c r="D102" s="3" t="s">
        <v>317</v>
      </c>
      <c r="E102" s="16" t="s">
        <v>853</v>
      </c>
      <c r="F102" s="4" t="s">
        <v>854</v>
      </c>
      <c r="G102" s="10">
        <v>6091411</v>
      </c>
      <c r="H102" s="16" t="s">
        <v>855</v>
      </c>
      <c r="J102" s="12"/>
      <c r="K102" s="16" t="s">
        <v>856</v>
      </c>
      <c r="M102" s="3"/>
      <c r="N102" s="16" t="s">
        <v>857</v>
      </c>
      <c r="P102" s="3"/>
      <c r="Q102" s="16" t="s">
        <v>1537</v>
      </c>
      <c r="S102" s="3"/>
      <c r="Z102" s="3"/>
      <c r="AA102" s="3"/>
    </row>
    <row r="103" spans="2:27" ht="15.75" customHeight="1">
      <c r="B103" s="16" t="s">
        <v>93</v>
      </c>
      <c r="D103" s="3"/>
      <c r="E103" s="16" t="s">
        <v>858</v>
      </c>
      <c r="F103" s="4" t="s">
        <v>859</v>
      </c>
      <c r="G103" s="10">
        <v>20.7</v>
      </c>
      <c r="H103" s="16" t="s">
        <v>860</v>
      </c>
      <c r="J103" s="12"/>
      <c r="K103" s="16" t="s">
        <v>861</v>
      </c>
      <c r="M103" s="3"/>
      <c r="N103" s="16" t="s">
        <v>862</v>
      </c>
      <c r="P103" s="3"/>
      <c r="Q103" s="16" t="s">
        <v>1538</v>
      </c>
      <c r="R103" s="4" t="s">
        <v>863</v>
      </c>
      <c r="S103" s="3"/>
      <c r="Z103" s="3"/>
      <c r="AA103" s="3"/>
    </row>
    <row r="104" spans="2:27" ht="15.75" customHeight="1">
      <c r="B104" s="16" t="s">
        <v>94</v>
      </c>
      <c r="C104" s="4" t="s">
        <v>256</v>
      </c>
      <c r="D104" s="3" t="s">
        <v>317</v>
      </c>
      <c r="E104" s="16" t="s">
        <v>864</v>
      </c>
      <c r="G104" s="10"/>
      <c r="H104" s="16" t="s">
        <v>865</v>
      </c>
      <c r="J104" s="12"/>
      <c r="K104" s="16" t="s">
        <v>866</v>
      </c>
      <c r="M104" s="3"/>
      <c r="N104" s="16" t="s">
        <v>867</v>
      </c>
      <c r="P104" s="3"/>
      <c r="Q104" s="16" t="s">
        <v>1539</v>
      </c>
      <c r="S104" s="3"/>
      <c r="Z104" s="3"/>
      <c r="AA104" s="3"/>
    </row>
    <row r="105" spans="2:27" ht="15.75" customHeight="1">
      <c r="B105" s="16" t="s">
        <v>95</v>
      </c>
      <c r="C105" s="4" t="s">
        <v>257</v>
      </c>
      <c r="D105" s="3" t="s">
        <v>317</v>
      </c>
      <c r="E105" s="16" t="s">
        <v>868</v>
      </c>
      <c r="G105" s="10"/>
      <c r="H105" s="16" t="s">
        <v>869</v>
      </c>
      <c r="J105" s="12"/>
      <c r="K105" s="16" t="s">
        <v>870</v>
      </c>
      <c r="M105" s="3"/>
      <c r="N105" s="16" t="s">
        <v>871</v>
      </c>
      <c r="P105" s="3"/>
      <c r="Q105" s="16" t="s">
        <v>1540</v>
      </c>
      <c r="S105" s="3"/>
      <c r="Z105" s="3"/>
      <c r="AA105" s="3"/>
    </row>
    <row r="106" spans="2:27" ht="15.75" customHeight="1">
      <c r="B106" s="16" t="s">
        <v>96</v>
      </c>
      <c r="C106" s="4" t="s">
        <v>258</v>
      </c>
      <c r="D106" s="3" t="s">
        <v>317</v>
      </c>
      <c r="E106" s="16" t="s">
        <v>872</v>
      </c>
      <c r="G106" s="10"/>
      <c r="H106" s="16" t="s">
        <v>873</v>
      </c>
      <c r="J106" s="12"/>
      <c r="K106" s="16" t="s">
        <v>874</v>
      </c>
      <c r="M106" s="3"/>
      <c r="N106" s="16" t="s">
        <v>875</v>
      </c>
      <c r="P106" s="3"/>
      <c r="Q106" s="16" t="s">
        <v>1541</v>
      </c>
      <c r="S106" s="3"/>
      <c r="Z106" s="3"/>
      <c r="AA106" s="3"/>
    </row>
    <row r="107" spans="2:27" ht="15.75" customHeight="1">
      <c r="B107" s="16" t="s">
        <v>97</v>
      </c>
      <c r="D107" s="3"/>
      <c r="E107" s="16" t="s">
        <v>876</v>
      </c>
      <c r="G107" s="10">
        <v>0</v>
      </c>
      <c r="H107" s="16" t="s">
        <v>877</v>
      </c>
      <c r="J107" s="12"/>
      <c r="K107" s="16" t="s">
        <v>878</v>
      </c>
      <c r="M107" s="3"/>
      <c r="N107" s="16" t="s">
        <v>879</v>
      </c>
      <c r="P107" s="3"/>
      <c r="Q107" s="16" t="s">
        <v>1542</v>
      </c>
      <c r="S107" s="3"/>
      <c r="Z107" s="3"/>
      <c r="AA107" s="3"/>
    </row>
    <row r="108" spans="2:27" ht="15.75" customHeight="1">
      <c r="B108" s="16" t="s">
        <v>98</v>
      </c>
      <c r="D108" s="3" t="s">
        <v>3949</v>
      </c>
      <c r="E108" s="16" t="s">
        <v>880</v>
      </c>
      <c r="G108" s="10">
        <v>0</v>
      </c>
      <c r="H108" s="16" t="s">
        <v>881</v>
      </c>
      <c r="J108" s="12"/>
      <c r="K108" s="16" t="s">
        <v>882</v>
      </c>
      <c r="M108" s="3"/>
      <c r="N108" s="16" t="s">
        <v>883</v>
      </c>
      <c r="P108" s="3"/>
      <c r="Q108" s="16" t="s">
        <v>1543</v>
      </c>
      <c r="R108" s="4" t="s">
        <v>884</v>
      </c>
      <c r="S108" s="3"/>
      <c r="Z108" s="3"/>
      <c r="AA108" s="3"/>
    </row>
    <row r="109" spans="2:27" ht="15.75" customHeight="1">
      <c r="B109" s="16" t="s">
        <v>99</v>
      </c>
      <c r="C109" s="4" t="s">
        <v>885</v>
      </c>
      <c r="D109" s="3" t="s">
        <v>1678</v>
      </c>
      <c r="E109" s="16" t="s">
        <v>886</v>
      </c>
      <c r="G109" s="10"/>
      <c r="H109" s="16" t="s">
        <v>887</v>
      </c>
      <c r="J109" s="12"/>
      <c r="K109" s="16" t="s">
        <v>888</v>
      </c>
      <c r="M109" s="3"/>
      <c r="N109" s="16" t="s">
        <v>889</v>
      </c>
      <c r="P109" s="3"/>
      <c r="Q109" s="16" t="s">
        <v>1544</v>
      </c>
      <c r="R109" s="4" t="s">
        <v>890</v>
      </c>
      <c r="S109" s="3"/>
      <c r="Z109" s="3"/>
      <c r="AA109" s="3"/>
    </row>
    <row r="110" spans="2:27" ht="15.75" customHeight="1">
      <c r="B110" s="16" t="s">
        <v>100</v>
      </c>
      <c r="C110" s="4" t="s">
        <v>259</v>
      </c>
      <c r="D110" s="3" t="s">
        <v>317</v>
      </c>
      <c r="E110" s="16" t="s">
        <v>891</v>
      </c>
      <c r="G110" s="10"/>
      <c r="H110" s="16" t="s">
        <v>892</v>
      </c>
      <c r="J110" s="12"/>
      <c r="K110" s="16" t="s">
        <v>893</v>
      </c>
      <c r="M110" s="3"/>
      <c r="N110" s="16" t="s">
        <v>894</v>
      </c>
      <c r="P110" s="3"/>
      <c r="Q110" s="16" t="s">
        <v>1545</v>
      </c>
      <c r="R110" s="4" t="s">
        <v>895</v>
      </c>
      <c r="S110" s="3"/>
      <c r="Z110" s="3"/>
      <c r="AA110" s="3"/>
    </row>
    <row r="111" spans="2:27" ht="15.75" customHeight="1">
      <c r="B111" s="16" t="s">
        <v>101</v>
      </c>
      <c r="C111" s="4" t="s">
        <v>260</v>
      </c>
      <c r="D111" s="3" t="s">
        <v>317</v>
      </c>
      <c r="E111" s="16" t="s">
        <v>896</v>
      </c>
      <c r="G111" s="10"/>
      <c r="H111" s="16" t="s">
        <v>897</v>
      </c>
      <c r="J111" s="12"/>
      <c r="K111" s="16" t="s">
        <v>898</v>
      </c>
      <c r="M111" s="3"/>
      <c r="N111" s="16" t="s">
        <v>899</v>
      </c>
      <c r="P111" s="3"/>
      <c r="Q111" s="16" t="s">
        <v>1546</v>
      </c>
      <c r="R111" s="4" t="s">
        <v>900</v>
      </c>
      <c r="S111" s="3"/>
      <c r="Z111" s="3"/>
      <c r="AA111" s="3"/>
    </row>
    <row r="112" spans="2:27" ht="15.75" customHeight="1">
      <c r="B112" s="16" t="s">
        <v>102</v>
      </c>
      <c r="D112" s="3"/>
      <c r="E112" s="16" t="s">
        <v>901</v>
      </c>
      <c r="G112" s="10"/>
      <c r="H112" s="16" t="s">
        <v>902</v>
      </c>
      <c r="J112" s="12"/>
      <c r="K112" s="16" t="s">
        <v>903</v>
      </c>
      <c r="M112" s="3"/>
      <c r="N112" s="16" t="s">
        <v>904</v>
      </c>
      <c r="P112" s="3"/>
      <c r="Q112" s="16" t="s">
        <v>1547</v>
      </c>
      <c r="S112" s="3"/>
      <c r="Z112" s="3"/>
      <c r="AA112" s="3"/>
    </row>
    <row r="113" spans="2:27" ht="15.75" customHeight="1">
      <c r="B113" s="16" t="s">
        <v>103</v>
      </c>
      <c r="C113" s="4" t="s">
        <v>905</v>
      </c>
      <c r="D113" s="3" t="s">
        <v>1685</v>
      </c>
      <c r="E113" s="16" t="s">
        <v>906</v>
      </c>
      <c r="G113" s="10"/>
      <c r="H113" s="16" t="s">
        <v>907</v>
      </c>
      <c r="J113" s="12"/>
      <c r="K113" s="16" t="s">
        <v>908</v>
      </c>
      <c r="M113" s="3"/>
      <c r="N113" s="16" t="s">
        <v>909</v>
      </c>
      <c r="P113" s="3"/>
      <c r="Q113" s="16" t="s">
        <v>1548</v>
      </c>
      <c r="S113" s="3"/>
      <c r="Z113" s="3"/>
      <c r="AA113" s="3"/>
    </row>
    <row r="114" spans="2:27" ht="15.75" customHeight="1">
      <c r="B114" s="16" t="s">
        <v>104</v>
      </c>
      <c r="C114" s="4" t="s">
        <v>910</v>
      </c>
      <c r="D114" s="3" t="s">
        <v>4591</v>
      </c>
      <c r="E114" s="16" t="s">
        <v>911</v>
      </c>
      <c r="G114" s="10"/>
      <c r="H114" s="16" t="s">
        <v>912</v>
      </c>
      <c r="J114" s="12"/>
      <c r="K114" s="16" t="s">
        <v>913</v>
      </c>
      <c r="M114" s="3"/>
      <c r="N114" s="16" t="s">
        <v>914</v>
      </c>
      <c r="P114" s="3"/>
      <c r="Q114" s="16" t="s">
        <v>1549</v>
      </c>
      <c r="S114" s="3"/>
      <c r="Z114" s="3"/>
      <c r="AA114" s="3"/>
    </row>
    <row r="115" spans="2:27" ht="15.75" customHeight="1">
      <c r="B115" s="16" t="s">
        <v>105</v>
      </c>
      <c r="C115" s="4" t="s">
        <v>915</v>
      </c>
      <c r="D115" s="3" t="s">
        <v>1678</v>
      </c>
      <c r="E115" s="16" t="s">
        <v>916</v>
      </c>
      <c r="G115" s="10"/>
      <c r="H115" s="16" t="s">
        <v>917</v>
      </c>
      <c r="J115" s="12"/>
      <c r="K115" s="16" t="s">
        <v>918</v>
      </c>
      <c r="M115" s="3"/>
      <c r="N115" s="16" t="s">
        <v>919</v>
      </c>
      <c r="P115" s="3"/>
      <c r="Q115" s="16" t="s">
        <v>1550</v>
      </c>
      <c r="S115" s="3"/>
      <c r="Z115" s="3"/>
      <c r="AA115" s="3"/>
    </row>
    <row r="116" spans="2:27" ht="15.75" customHeight="1">
      <c r="B116" s="16" t="s">
        <v>106</v>
      </c>
      <c r="D116" s="3"/>
      <c r="E116" s="16" t="s">
        <v>920</v>
      </c>
      <c r="G116" s="10"/>
      <c r="H116" s="16" t="s">
        <v>921</v>
      </c>
      <c r="J116" s="12"/>
      <c r="K116" s="16" t="s">
        <v>922</v>
      </c>
      <c r="M116" s="3"/>
      <c r="N116" s="16" t="s">
        <v>923</v>
      </c>
      <c r="P116" s="3"/>
      <c r="Q116" s="16" t="s">
        <v>1551</v>
      </c>
      <c r="S116" s="3"/>
      <c r="Z116" s="3"/>
      <c r="AA116" s="3"/>
    </row>
    <row r="117" spans="2:27" ht="15.75" customHeight="1">
      <c r="B117" s="16" t="s">
        <v>107</v>
      </c>
      <c r="C117" s="4" t="s">
        <v>924</v>
      </c>
      <c r="D117" s="3" t="s">
        <v>1678</v>
      </c>
      <c r="E117" s="16" t="s">
        <v>925</v>
      </c>
      <c r="G117" s="10"/>
      <c r="H117" s="16" t="s">
        <v>926</v>
      </c>
      <c r="I117" s="4" t="s">
        <v>927</v>
      </c>
      <c r="J117" s="12"/>
      <c r="K117" s="16" t="s">
        <v>928</v>
      </c>
      <c r="M117" s="3"/>
      <c r="N117" s="16" t="s">
        <v>929</v>
      </c>
      <c r="P117" s="3"/>
      <c r="Q117" s="16" t="s">
        <v>1552</v>
      </c>
      <c r="S117" s="3"/>
      <c r="Z117" s="3"/>
      <c r="AA117" s="3"/>
    </row>
    <row r="118" spans="2:27" ht="15.75" customHeight="1">
      <c r="B118" s="16" t="s">
        <v>108</v>
      </c>
      <c r="C118" s="4" t="s">
        <v>930</v>
      </c>
      <c r="D118" s="3" t="s">
        <v>1678</v>
      </c>
      <c r="E118" s="16" t="s">
        <v>931</v>
      </c>
      <c r="G118" s="10"/>
      <c r="H118" s="16" t="s">
        <v>932</v>
      </c>
      <c r="I118" s="4" t="s">
        <v>933</v>
      </c>
      <c r="J118" s="12"/>
      <c r="K118" s="16" t="s">
        <v>934</v>
      </c>
      <c r="M118" s="3"/>
      <c r="N118" s="16" t="s">
        <v>935</v>
      </c>
      <c r="P118" s="3"/>
      <c r="Q118" s="16" t="s">
        <v>1553</v>
      </c>
      <c r="R118" s="4" t="s">
        <v>936</v>
      </c>
      <c r="S118" s="3"/>
      <c r="Z118" s="3"/>
      <c r="AA118" s="3"/>
    </row>
    <row r="119" spans="2:27" ht="15.75" customHeight="1">
      <c r="B119" s="16" t="s">
        <v>109</v>
      </c>
      <c r="C119" s="4" t="s">
        <v>937</v>
      </c>
      <c r="D119" s="3" t="s">
        <v>317</v>
      </c>
      <c r="E119" s="16" t="s">
        <v>938</v>
      </c>
      <c r="G119" s="10"/>
      <c r="H119" s="16" t="s">
        <v>939</v>
      </c>
      <c r="J119" s="12"/>
      <c r="K119" s="16" t="s">
        <v>940</v>
      </c>
      <c r="M119" s="3"/>
      <c r="N119" s="16" t="s">
        <v>941</v>
      </c>
      <c r="P119" s="3"/>
      <c r="Q119" s="16" t="s">
        <v>1554</v>
      </c>
      <c r="R119" s="4" t="s">
        <v>942</v>
      </c>
      <c r="S119" s="3"/>
      <c r="Z119" s="3"/>
      <c r="AA119" s="3"/>
    </row>
    <row r="120" spans="2:27" ht="15.75" customHeight="1">
      <c r="B120" s="16" t="s">
        <v>110</v>
      </c>
      <c r="C120" s="4" t="s">
        <v>943</v>
      </c>
      <c r="D120" s="3" t="s">
        <v>317</v>
      </c>
      <c r="E120" s="16" t="s">
        <v>944</v>
      </c>
      <c r="G120" s="10"/>
      <c r="H120" s="16" t="s">
        <v>945</v>
      </c>
      <c r="J120" s="12"/>
      <c r="K120" s="16" t="s">
        <v>946</v>
      </c>
      <c r="M120" s="3"/>
      <c r="N120" s="16" t="s">
        <v>947</v>
      </c>
      <c r="P120" s="3"/>
      <c r="Q120" s="16" t="s">
        <v>1555</v>
      </c>
      <c r="R120" s="4" t="s">
        <v>948</v>
      </c>
      <c r="S120" s="3"/>
      <c r="Z120" s="3"/>
      <c r="AA120" s="3"/>
    </row>
    <row r="121" spans="2:27" ht="15.75" customHeight="1">
      <c r="B121" s="16" t="s">
        <v>111</v>
      </c>
      <c r="C121" s="4" t="s">
        <v>949</v>
      </c>
      <c r="D121" s="3" t="s">
        <v>317</v>
      </c>
      <c r="E121" s="16" t="s">
        <v>950</v>
      </c>
      <c r="G121" s="10"/>
      <c r="H121" s="16" t="s">
        <v>951</v>
      </c>
      <c r="J121" s="12"/>
      <c r="K121" s="16" t="s">
        <v>952</v>
      </c>
      <c r="M121" s="3"/>
      <c r="N121" s="16" t="s">
        <v>953</v>
      </c>
      <c r="P121" s="3"/>
      <c r="Q121" s="16" t="s">
        <v>1556</v>
      </c>
      <c r="S121" s="3"/>
      <c r="Z121" s="3"/>
      <c r="AA121" s="3"/>
    </row>
    <row r="122" spans="2:27" ht="15.75" customHeight="1">
      <c r="B122" s="16" t="s">
        <v>112</v>
      </c>
      <c r="C122" s="4" t="s">
        <v>954</v>
      </c>
      <c r="D122" s="3" t="s">
        <v>1684</v>
      </c>
      <c r="E122" s="16" t="s">
        <v>955</v>
      </c>
      <c r="G122" s="10"/>
      <c r="H122" s="16" t="s">
        <v>956</v>
      </c>
      <c r="I122" s="4" t="s">
        <v>957</v>
      </c>
      <c r="J122" s="12">
        <v>45961</v>
      </c>
      <c r="K122" s="16" t="s">
        <v>958</v>
      </c>
      <c r="M122" s="3"/>
      <c r="N122" s="16" t="s">
        <v>959</v>
      </c>
      <c r="P122" s="3"/>
      <c r="Q122" s="16" t="s">
        <v>1557</v>
      </c>
      <c r="S122" s="3"/>
      <c r="Z122" s="3"/>
      <c r="AA122" s="3"/>
    </row>
    <row r="123" spans="2:27" ht="15.75" customHeight="1">
      <c r="B123" s="16" t="s">
        <v>113</v>
      </c>
      <c r="C123" s="4" t="s">
        <v>960</v>
      </c>
      <c r="D123" s="3" t="s">
        <v>317</v>
      </c>
      <c r="E123" s="16" t="s">
        <v>961</v>
      </c>
      <c r="G123" s="10"/>
      <c r="H123" s="16" t="s">
        <v>962</v>
      </c>
      <c r="I123" s="4" t="s">
        <v>963</v>
      </c>
      <c r="J123" s="12"/>
      <c r="K123" s="16" t="s">
        <v>964</v>
      </c>
      <c r="M123" s="3"/>
      <c r="N123" s="16" t="s">
        <v>965</v>
      </c>
      <c r="P123" s="3"/>
      <c r="Q123" s="16" t="s">
        <v>1558</v>
      </c>
      <c r="S123" s="3"/>
      <c r="Z123" s="3"/>
      <c r="AA123" s="3"/>
    </row>
    <row r="124" spans="2:27" ht="15.75" customHeight="1">
      <c r="B124" s="16" t="s">
        <v>114</v>
      </c>
      <c r="D124" s="3"/>
      <c r="E124" s="16" t="s">
        <v>966</v>
      </c>
      <c r="G124" s="10"/>
      <c r="H124" s="16" t="s">
        <v>967</v>
      </c>
      <c r="J124" s="12"/>
      <c r="K124" s="16" t="s">
        <v>968</v>
      </c>
      <c r="M124" s="3"/>
      <c r="N124" s="16" t="s">
        <v>969</v>
      </c>
      <c r="P124" s="3"/>
      <c r="Q124" s="16" t="s">
        <v>1559</v>
      </c>
      <c r="S124" s="3"/>
      <c r="Z124" s="3"/>
      <c r="AA124" s="3"/>
    </row>
    <row r="125" spans="2:27" ht="15.75" customHeight="1">
      <c r="B125" s="16" t="s">
        <v>115</v>
      </c>
      <c r="C125" s="4" t="s">
        <v>261</v>
      </c>
      <c r="D125" s="3" t="s">
        <v>1678</v>
      </c>
      <c r="E125" s="16" t="s">
        <v>970</v>
      </c>
      <c r="G125" s="10"/>
      <c r="H125" s="16" t="s">
        <v>971</v>
      </c>
      <c r="I125" s="4" t="s">
        <v>972</v>
      </c>
      <c r="J125" s="12"/>
      <c r="K125" s="16" t="s">
        <v>973</v>
      </c>
      <c r="M125" s="3"/>
      <c r="N125" s="16" t="s">
        <v>974</v>
      </c>
      <c r="P125" s="3"/>
      <c r="Q125" s="16" t="s">
        <v>1560</v>
      </c>
      <c r="S125" s="3"/>
      <c r="Z125" s="3"/>
      <c r="AA125" s="3"/>
    </row>
    <row r="126" spans="2:27" ht="15.75" customHeight="1">
      <c r="B126" s="16" t="s">
        <v>116</v>
      </c>
      <c r="C126" s="4" t="s">
        <v>262</v>
      </c>
      <c r="D126" s="3" t="s">
        <v>317</v>
      </c>
      <c r="E126" s="16" t="s">
        <v>975</v>
      </c>
      <c r="G126" s="10"/>
      <c r="H126" s="16" t="s">
        <v>976</v>
      </c>
      <c r="I126" s="4" t="s">
        <v>977</v>
      </c>
      <c r="J126" s="12"/>
      <c r="K126" s="16" t="s">
        <v>978</v>
      </c>
      <c r="M126" s="3"/>
      <c r="N126" s="16" t="s">
        <v>979</v>
      </c>
      <c r="P126" s="3"/>
      <c r="Q126" s="16" t="s">
        <v>1561</v>
      </c>
      <c r="S126" s="3"/>
      <c r="Z126" s="3"/>
      <c r="AA126" s="3"/>
    </row>
    <row r="127" spans="2:27" ht="15.75" customHeight="1">
      <c r="B127" s="16" t="s">
        <v>117</v>
      </c>
      <c r="C127" s="4" t="s">
        <v>263</v>
      </c>
      <c r="D127" s="3" t="s">
        <v>1678</v>
      </c>
      <c r="E127" s="16" t="s">
        <v>980</v>
      </c>
      <c r="G127" s="10"/>
      <c r="H127" s="16" t="s">
        <v>981</v>
      </c>
      <c r="I127" s="4" t="s">
        <v>982</v>
      </c>
      <c r="J127" s="12"/>
      <c r="K127" s="16" t="s">
        <v>983</v>
      </c>
      <c r="M127" s="3"/>
      <c r="N127" s="16" t="s">
        <v>984</v>
      </c>
      <c r="P127" s="3" t="b">
        <v>0</v>
      </c>
      <c r="Q127" s="16" t="s">
        <v>1562</v>
      </c>
      <c r="S127" s="3"/>
      <c r="Z127" s="3"/>
      <c r="AA127" s="3"/>
    </row>
    <row r="128" spans="2:27" ht="15.75" customHeight="1">
      <c r="B128" s="16" t="s">
        <v>118</v>
      </c>
      <c r="C128" s="4" t="s">
        <v>264</v>
      </c>
      <c r="D128" s="3" t="s">
        <v>317</v>
      </c>
      <c r="E128" s="16" t="s">
        <v>985</v>
      </c>
      <c r="G128" s="10"/>
      <c r="H128" s="16" t="s">
        <v>986</v>
      </c>
      <c r="I128" s="4" t="s">
        <v>987</v>
      </c>
      <c r="J128" s="12"/>
      <c r="K128" s="16" t="s">
        <v>988</v>
      </c>
      <c r="M128" s="3"/>
      <c r="N128" s="16" t="s">
        <v>989</v>
      </c>
      <c r="P128" s="3" t="b">
        <v>1</v>
      </c>
      <c r="Q128" s="16" t="s">
        <v>1563</v>
      </c>
      <c r="R128" s="4" t="s">
        <v>990</v>
      </c>
      <c r="S128" s="3"/>
      <c r="Z128" s="3"/>
      <c r="AA128" s="3"/>
    </row>
    <row r="129" spans="2:27" ht="15.75" customHeight="1">
      <c r="B129" s="16" t="s">
        <v>119</v>
      </c>
      <c r="C129" s="4" t="s">
        <v>265</v>
      </c>
      <c r="D129" s="3" t="s">
        <v>1678</v>
      </c>
      <c r="E129" s="16" t="s">
        <v>991</v>
      </c>
      <c r="G129" s="10"/>
      <c r="H129" s="16" t="s">
        <v>992</v>
      </c>
      <c r="I129" s="4" t="s">
        <v>993</v>
      </c>
      <c r="J129" s="12"/>
      <c r="K129" s="16" t="s">
        <v>994</v>
      </c>
      <c r="M129" s="3"/>
      <c r="N129" s="16" t="s">
        <v>995</v>
      </c>
      <c r="P129" s="3" t="b">
        <v>1</v>
      </c>
      <c r="Q129" s="16" t="s">
        <v>1564</v>
      </c>
      <c r="R129" s="4" t="s">
        <v>996</v>
      </c>
      <c r="S129" s="3"/>
      <c r="Z129" s="3"/>
      <c r="AA129" s="3"/>
    </row>
    <row r="130" spans="2:27" ht="15.75" customHeight="1">
      <c r="B130" s="16" t="s">
        <v>120</v>
      </c>
      <c r="C130" s="4" t="s">
        <v>266</v>
      </c>
      <c r="D130" s="3" t="s">
        <v>4652</v>
      </c>
      <c r="E130" s="16" t="s">
        <v>997</v>
      </c>
      <c r="G130" s="10"/>
      <c r="H130" s="16" t="s">
        <v>998</v>
      </c>
      <c r="I130" s="4" t="s">
        <v>999</v>
      </c>
      <c r="J130" s="12"/>
      <c r="K130" s="16" t="s">
        <v>1000</v>
      </c>
      <c r="M130" s="3"/>
      <c r="N130" s="16" t="s">
        <v>1001</v>
      </c>
      <c r="P130" s="3" t="b">
        <v>1</v>
      </c>
      <c r="Q130" s="16" t="s">
        <v>1565</v>
      </c>
      <c r="R130" s="4" t="s">
        <v>1002</v>
      </c>
      <c r="S130" s="3"/>
      <c r="Z130" s="3"/>
      <c r="AA130" s="3"/>
    </row>
    <row r="131" spans="2:27" ht="15.75" customHeight="1">
      <c r="B131" s="16" t="s">
        <v>121</v>
      </c>
      <c r="C131" s="4" t="s">
        <v>267</v>
      </c>
      <c r="D131" s="3" t="s">
        <v>2639</v>
      </c>
      <c r="E131" s="16" t="s">
        <v>1003</v>
      </c>
      <c r="G131" s="10"/>
      <c r="H131" s="16" t="s">
        <v>1004</v>
      </c>
      <c r="J131" s="12"/>
      <c r="K131" s="16" t="s">
        <v>1005</v>
      </c>
      <c r="L131" s="4" t="s">
        <v>1006</v>
      </c>
      <c r="M131" s="2" t="s">
        <v>317</v>
      </c>
      <c r="N131" s="16" t="s">
        <v>1007</v>
      </c>
      <c r="P131" s="3" t="b">
        <v>1</v>
      </c>
      <c r="Q131" s="16" t="s">
        <v>1566</v>
      </c>
      <c r="S131" s="3"/>
      <c r="Z131" s="3"/>
      <c r="AA131" s="3"/>
    </row>
    <row r="132" spans="2:27" ht="15.75" customHeight="1">
      <c r="B132" s="16" t="s">
        <v>122</v>
      </c>
      <c r="C132" s="4" t="s">
        <v>1008</v>
      </c>
      <c r="D132" s="3" t="s">
        <v>317</v>
      </c>
      <c r="E132" s="16" t="s">
        <v>1009</v>
      </c>
      <c r="F132" s="4" t="s">
        <v>1010</v>
      </c>
      <c r="G132" s="10">
        <v>0</v>
      </c>
      <c r="H132" s="16" t="s">
        <v>1011</v>
      </c>
      <c r="J132" s="12"/>
      <c r="K132" s="16" t="s">
        <v>1012</v>
      </c>
      <c r="L132" s="4" t="s">
        <v>1013</v>
      </c>
      <c r="M132" s="2" t="s">
        <v>317</v>
      </c>
      <c r="N132" s="16" t="s">
        <v>1014</v>
      </c>
      <c r="P132" s="3" t="b">
        <v>1</v>
      </c>
      <c r="Q132" s="16" t="s">
        <v>1567</v>
      </c>
      <c r="S132" s="3"/>
      <c r="Z132" s="3"/>
      <c r="AA132" s="3"/>
    </row>
    <row r="133" spans="2:27" ht="15.75" customHeight="1">
      <c r="B133" s="16" t="s">
        <v>123</v>
      </c>
      <c r="D133" s="3"/>
      <c r="E133" s="16" t="s">
        <v>1015</v>
      </c>
      <c r="G133" s="10"/>
      <c r="H133" s="16" t="s">
        <v>1016</v>
      </c>
      <c r="J133" s="12"/>
      <c r="K133" s="16" t="s">
        <v>1017</v>
      </c>
      <c r="M133" s="3"/>
      <c r="N133" s="16" t="s">
        <v>1018</v>
      </c>
      <c r="P133" s="3"/>
      <c r="Q133" s="16" t="s">
        <v>1568</v>
      </c>
      <c r="S133" s="3"/>
      <c r="Z133" s="3"/>
      <c r="AA133" s="3"/>
    </row>
    <row r="134" spans="2:27" ht="15.75" customHeight="1">
      <c r="B134" s="16" t="s">
        <v>124</v>
      </c>
      <c r="C134" s="4" t="s">
        <v>1019</v>
      </c>
      <c r="D134" s="3" t="s">
        <v>1678</v>
      </c>
      <c r="E134" s="16" t="s">
        <v>1020</v>
      </c>
      <c r="G134" s="10"/>
      <c r="H134" s="16" t="s">
        <v>1021</v>
      </c>
      <c r="J134" s="12"/>
      <c r="K134" s="16" t="s">
        <v>1022</v>
      </c>
      <c r="M134" s="3"/>
      <c r="N134" s="16" t="s">
        <v>1023</v>
      </c>
      <c r="P134" s="3" t="b">
        <v>1</v>
      </c>
      <c r="Q134" s="16" t="s">
        <v>1569</v>
      </c>
      <c r="S134" s="3"/>
      <c r="Z134" s="3"/>
      <c r="AA134" s="3"/>
    </row>
    <row r="135" spans="2:27" ht="15.75" customHeight="1">
      <c r="B135" s="16" t="s">
        <v>125</v>
      </c>
      <c r="C135" s="4" t="s">
        <v>1024</v>
      </c>
      <c r="D135" s="3" t="s">
        <v>1678</v>
      </c>
      <c r="E135" s="16" t="s">
        <v>1025</v>
      </c>
      <c r="G135" s="10"/>
      <c r="H135" s="16" t="s">
        <v>1026</v>
      </c>
      <c r="J135" s="12"/>
      <c r="K135" s="16" t="s">
        <v>1027</v>
      </c>
      <c r="M135" s="3"/>
      <c r="N135" s="16" t="s">
        <v>1028</v>
      </c>
      <c r="P135" s="3" t="b">
        <v>1</v>
      </c>
      <c r="Q135" s="16" t="s">
        <v>1570</v>
      </c>
      <c r="R135" s="4" t="s">
        <v>1029</v>
      </c>
      <c r="S135" s="3"/>
      <c r="Z135" s="3"/>
      <c r="AA135" s="3"/>
    </row>
    <row r="136" spans="2:27" ht="15.75" customHeight="1">
      <c r="B136" s="16" t="s">
        <v>126</v>
      </c>
      <c r="C136" s="4" t="s">
        <v>1030</v>
      </c>
      <c r="D136" s="3" t="s">
        <v>1678</v>
      </c>
      <c r="E136" s="16" t="s">
        <v>1031</v>
      </c>
      <c r="G136" s="10"/>
      <c r="H136" s="16" t="s">
        <v>1032</v>
      </c>
      <c r="J136" s="12"/>
      <c r="K136" s="16" t="s">
        <v>1033</v>
      </c>
      <c r="M136" s="3"/>
      <c r="N136" s="16" t="s">
        <v>1034</v>
      </c>
      <c r="P136" s="3" t="b">
        <v>1</v>
      </c>
      <c r="Q136" s="16" t="s">
        <v>1571</v>
      </c>
      <c r="S136" s="3"/>
      <c r="Z136" s="3"/>
      <c r="AA136" s="3"/>
    </row>
    <row r="137" spans="2:27" ht="15.75" customHeight="1">
      <c r="B137" s="16" t="s">
        <v>127</v>
      </c>
      <c r="C137" s="4" t="s">
        <v>1035</v>
      </c>
      <c r="D137" s="3" t="s">
        <v>1678</v>
      </c>
      <c r="E137" s="16" t="s">
        <v>1036</v>
      </c>
      <c r="G137" s="10"/>
      <c r="H137" s="16" t="s">
        <v>1037</v>
      </c>
      <c r="J137" s="12"/>
      <c r="K137" s="16" t="s">
        <v>1038</v>
      </c>
      <c r="L137" s="4" t="s">
        <v>1039</v>
      </c>
      <c r="M137" s="2" t="s">
        <v>4702</v>
      </c>
      <c r="N137" s="16" t="s">
        <v>1040</v>
      </c>
      <c r="P137" s="3" t="b">
        <v>1</v>
      </c>
      <c r="Q137" s="16" t="s">
        <v>1572</v>
      </c>
      <c r="S137" s="3"/>
      <c r="Z137" s="3"/>
      <c r="AA137" s="3"/>
    </row>
    <row r="138" spans="2:27" ht="15.75" customHeight="1">
      <c r="B138" s="16" t="s">
        <v>128</v>
      </c>
      <c r="D138" s="3" t="s">
        <v>4653</v>
      </c>
      <c r="E138" s="16" t="s">
        <v>1041</v>
      </c>
      <c r="G138" s="10"/>
      <c r="H138" s="16" t="s">
        <v>1042</v>
      </c>
      <c r="J138" s="12"/>
      <c r="K138" s="16" t="s">
        <v>1043</v>
      </c>
      <c r="M138" s="3"/>
      <c r="N138" s="16" t="s">
        <v>1044</v>
      </c>
      <c r="P138" s="3" t="b">
        <v>1</v>
      </c>
      <c r="Q138" s="16" t="s">
        <v>1573</v>
      </c>
      <c r="R138" s="4" t="s">
        <v>1045</v>
      </c>
      <c r="S138" s="3"/>
      <c r="Z138" s="3"/>
      <c r="AA138" s="3"/>
    </row>
    <row r="139" spans="2:27" ht="15.75" customHeight="1">
      <c r="B139" s="16" t="s">
        <v>129</v>
      </c>
      <c r="D139" s="3"/>
      <c r="E139" s="16" t="s">
        <v>1046</v>
      </c>
      <c r="G139" s="10"/>
      <c r="H139" s="16" t="s">
        <v>1047</v>
      </c>
      <c r="J139" s="12"/>
      <c r="K139" s="16" t="s">
        <v>1048</v>
      </c>
      <c r="M139" s="3"/>
      <c r="N139" s="16" t="s">
        <v>1049</v>
      </c>
      <c r="P139" s="3" t="b">
        <v>1</v>
      </c>
      <c r="Q139" s="16" t="s">
        <v>1574</v>
      </c>
      <c r="R139" s="4" t="s">
        <v>1045</v>
      </c>
      <c r="S139" s="3"/>
      <c r="Z139" s="3"/>
      <c r="AA139" s="3"/>
    </row>
    <row r="140" spans="2:27" ht="15.75" customHeight="1">
      <c r="B140" s="16" t="s">
        <v>130</v>
      </c>
      <c r="D140" s="3"/>
      <c r="E140" s="16" t="s">
        <v>1050</v>
      </c>
      <c r="G140" s="10"/>
      <c r="H140" s="16" t="s">
        <v>1051</v>
      </c>
      <c r="J140" s="12"/>
      <c r="K140" s="16" t="s">
        <v>1052</v>
      </c>
      <c r="M140" s="3"/>
      <c r="N140" s="16" t="s">
        <v>1053</v>
      </c>
      <c r="P140" s="3"/>
      <c r="Q140" s="16" t="s">
        <v>1575</v>
      </c>
      <c r="R140" s="4" t="s">
        <v>1054</v>
      </c>
      <c r="S140" s="3"/>
      <c r="Z140" s="3"/>
      <c r="AA140" s="3"/>
    </row>
    <row r="141" spans="2:27" ht="15.75" customHeight="1">
      <c r="B141" s="16" t="s">
        <v>131</v>
      </c>
      <c r="C141" s="4" t="s">
        <v>1055</v>
      </c>
      <c r="D141" s="3" t="s">
        <v>1678</v>
      </c>
      <c r="E141" s="16" t="s">
        <v>1056</v>
      </c>
      <c r="F141" s="4" t="s">
        <v>1057</v>
      </c>
      <c r="G141" s="10">
        <v>100000</v>
      </c>
      <c r="H141" s="16" t="s">
        <v>1058</v>
      </c>
      <c r="J141" s="12"/>
      <c r="K141" s="16" t="s">
        <v>1059</v>
      </c>
      <c r="M141" s="3"/>
      <c r="N141" s="16" t="s">
        <v>1060</v>
      </c>
      <c r="P141" s="3"/>
      <c r="Q141" s="16" t="s">
        <v>1576</v>
      </c>
      <c r="R141" s="4" t="s">
        <v>1061</v>
      </c>
      <c r="S141" s="3"/>
      <c r="Z141" s="3"/>
      <c r="AA141" s="3"/>
    </row>
    <row r="142" spans="2:27" ht="15.75" customHeight="1">
      <c r="B142" s="16" t="s">
        <v>132</v>
      </c>
      <c r="C142" s="4" t="s">
        <v>1062</v>
      </c>
      <c r="D142" s="3" t="s">
        <v>4654</v>
      </c>
      <c r="E142" s="16" t="s">
        <v>1063</v>
      </c>
      <c r="G142" s="10"/>
      <c r="H142" s="16" t="s">
        <v>1064</v>
      </c>
      <c r="J142" s="12"/>
      <c r="K142" s="16" t="s">
        <v>1065</v>
      </c>
      <c r="M142" s="3"/>
      <c r="N142" s="16" t="s">
        <v>1066</v>
      </c>
      <c r="P142" s="3"/>
      <c r="Q142" s="16" t="s">
        <v>1577</v>
      </c>
      <c r="S142" s="3"/>
      <c r="Z142" s="3"/>
      <c r="AA142" s="3"/>
    </row>
    <row r="143" spans="2:27" ht="15.75" customHeight="1">
      <c r="B143" s="16" t="s">
        <v>133</v>
      </c>
      <c r="D143" s="3"/>
      <c r="E143" s="16" t="s">
        <v>1067</v>
      </c>
      <c r="G143" s="10"/>
      <c r="H143" s="16" t="s">
        <v>1068</v>
      </c>
      <c r="J143" s="12"/>
      <c r="K143" s="16" t="s">
        <v>1069</v>
      </c>
      <c r="M143" s="3"/>
      <c r="N143" s="16" t="s">
        <v>1070</v>
      </c>
      <c r="P143" s="3"/>
      <c r="Q143" s="16" t="s">
        <v>1578</v>
      </c>
      <c r="S143" s="3"/>
      <c r="Z143" s="3"/>
      <c r="AA143" s="3"/>
    </row>
    <row r="144" spans="2:27" ht="15.75" customHeight="1">
      <c r="B144" s="16" t="s">
        <v>134</v>
      </c>
      <c r="D144" s="3"/>
      <c r="E144" s="16" t="s">
        <v>1071</v>
      </c>
      <c r="G144" s="10"/>
      <c r="H144" s="16" t="s">
        <v>1072</v>
      </c>
      <c r="J144" s="12"/>
      <c r="K144" s="16" t="s">
        <v>1073</v>
      </c>
      <c r="M144" s="3"/>
      <c r="N144" s="16" t="s">
        <v>1074</v>
      </c>
      <c r="P144" s="3"/>
      <c r="Q144" s="16" t="s">
        <v>1579</v>
      </c>
      <c r="S144" s="3"/>
      <c r="Z144" s="3"/>
      <c r="AA144" s="3"/>
    </row>
    <row r="145" spans="2:27" ht="15.75" customHeight="1">
      <c r="B145" s="16" t="s">
        <v>135</v>
      </c>
      <c r="D145" s="3"/>
      <c r="E145" s="16" t="s">
        <v>1075</v>
      </c>
      <c r="G145" s="10"/>
      <c r="H145" s="16" t="s">
        <v>1076</v>
      </c>
      <c r="J145" s="12"/>
      <c r="K145" s="16" t="s">
        <v>1077</v>
      </c>
      <c r="M145" s="3"/>
      <c r="N145" s="16" t="s">
        <v>1078</v>
      </c>
      <c r="P145" s="3"/>
      <c r="Q145" s="16" t="s">
        <v>1580</v>
      </c>
      <c r="S145" s="3"/>
      <c r="Z145" s="3"/>
      <c r="AA145" s="3"/>
    </row>
    <row r="146" spans="2:27" ht="15.75" customHeight="1">
      <c r="B146" s="16" t="s">
        <v>136</v>
      </c>
      <c r="D146" s="3" t="s">
        <v>1684</v>
      </c>
      <c r="E146" s="16" t="s">
        <v>1079</v>
      </c>
      <c r="G146" s="10"/>
      <c r="H146" s="16" t="s">
        <v>1080</v>
      </c>
      <c r="J146" s="12"/>
      <c r="K146" s="16" t="s">
        <v>1081</v>
      </c>
      <c r="M146" s="3"/>
      <c r="N146" s="16" t="s">
        <v>1082</v>
      </c>
      <c r="P146" s="3"/>
      <c r="Q146" s="16" t="s">
        <v>1581</v>
      </c>
      <c r="S146" s="3"/>
      <c r="Z146" s="3"/>
      <c r="AA146" s="3"/>
    </row>
    <row r="147" spans="2:27" ht="15.75" customHeight="1">
      <c r="B147" s="16" t="s">
        <v>137</v>
      </c>
      <c r="C147" s="4" t="s">
        <v>268</v>
      </c>
      <c r="D147" s="3" t="s">
        <v>1679</v>
      </c>
      <c r="E147" s="16" t="s">
        <v>1083</v>
      </c>
      <c r="G147" s="10"/>
      <c r="H147" s="16" t="s">
        <v>1084</v>
      </c>
      <c r="J147" s="12"/>
      <c r="K147" s="16" t="s">
        <v>1085</v>
      </c>
      <c r="M147" s="3"/>
      <c r="N147" s="16" t="s">
        <v>1086</v>
      </c>
      <c r="P147" s="3"/>
      <c r="Q147" s="16" t="s">
        <v>1582</v>
      </c>
      <c r="S147" s="3"/>
      <c r="Z147" s="3"/>
      <c r="AA147" s="3"/>
    </row>
    <row r="148" spans="2:27" ht="15.75" customHeight="1">
      <c r="B148" s="16" t="s">
        <v>138</v>
      </c>
      <c r="D148" s="3" t="s">
        <v>1684</v>
      </c>
      <c r="E148" s="16" t="s">
        <v>1087</v>
      </c>
      <c r="G148" s="10"/>
      <c r="H148" s="16" t="s">
        <v>1088</v>
      </c>
      <c r="J148" s="12"/>
      <c r="K148" s="16" t="s">
        <v>1089</v>
      </c>
      <c r="M148" s="3"/>
      <c r="N148" s="16" t="s">
        <v>1090</v>
      </c>
      <c r="P148" s="3"/>
      <c r="Q148" s="16" t="s">
        <v>1583</v>
      </c>
      <c r="R148" s="4" t="s">
        <v>1091</v>
      </c>
      <c r="S148" s="3"/>
      <c r="Z148" s="3"/>
      <c r="AA148" s="3"/>
    </row>
    <row r="149" spans="2:27" ht="15.75" customHeight="1">
      <c r="B149" s="16" t="s">
        <v>2630</v>
      </c>
      <c r="C149" s="8" t="s">
        <v>269</v>
      </c>
      <c r="D149" s="3" t="s">
        <v>4655</v>
      </c>
      <c r="E149" s="16" t="s">
        <v>1092</v>
      </c>
      <c r="G149" s="10"/>
      <c r="H149" s="16" t="s">
        <v>1093</v>
      </c>
      <c r="J149" s="12"/>
      <c r="K149" s="16" t="s">
        <v>1094</v>
      </c>
      <c r="M149" s="3"/>
      <c r="N149" s="16" t="s">
        <v>1095</v>
      </c>
      <c r="P149" s="3"/>
      <c r="Q149" s="16" t="s">
        <v>1584</v>
      </c>
      <c r="R149" s="4" t="s">
        <v>1096</v>
      </c>
      <c r="S149" s="3"/>
      <c r="Z149" s="3"/>
      <c r="AA149" s="3"/>
    </row>
    <row r="150" spans="2:27" ht="15.75" customHeight="1">
      <c r="B150" s="16" t="s">
        <v>139</v>
      </c>
      <c r="C150" s="8" t="s">
        <v>270</v>
      </c>
      <c r="D150" s="3" t="s">
        <v>4619</v>
      </c>
      <c r="E150" s="16" t="s">
        <v>1097</v>
      </c>
      <c r="G150" s="10"/>
      <c r="H150" s="16" t="s">
        <v>1098</v>
      </c>
      <c r="J150" s="12"/>
      <c r="K150" s="16" t="s">
        <v>1099</v>
      </c>
      <c r="M150" s="3"/>
      <c r="N150" s="16" t="s">
        <v>1100</v>
      </c>
      <c r="P150" s="3"/>
      <c r="Q150" s="16" t="s">
        <v>1585</v>
      </c>
      <c r="R150" s="4" t="s">
        <v>1101</v>
      </c>
      <c r="S150" s="3"/>
      <c r="Z150" s="3"/>
      <c r="AA150" s="3"/>
    </row>
    <row r="151" spans="2:27" ht="15.75" customHeight="1">
      <c r="B151" s="16" t="s">
        <v>140</v>
      </c>
      <c r="D151" s="3" t="s">
        <v>4618</v>
      </c>
      <c r="E151" s="16" t="s">
        <v>1102</v>
      </c>
      <c r="G151" s="10"/>
      <c r="H151" s="16" t="s">
        <v>1103</v>
      </c>
      <c r="J151" s="12">
        <v>45848.534363425926</v>
      </c>
      <c r="K151" s="16" t="s">
        <v>1104</v>
      </c>
      <c r="M151" s="3" t="s">
        <v>317</v>
      </c>
      <c r="N151" s="16" t="s">
        <v>1105</v>
      </c>
      <c r="P151" s="3" t="b">
        <v>1</v>
      </c>
      <c r="Q151" s="16" t="s">
        <v>1586</v>
      </c>
      <c r="R151" s="4" t="s">
        <v>1106</v>
      </c>
      <c r="S151" s="3"/>
      <c r="Z151" s="3"/>
      <c r="AA151" s="3"/>
    </row>
    <row r="152" spans="2:27" ht="15.75" customHeight="1">
      <c r="B152" s="16" t="s">
        <v>141</v>
      </c>
      <c r="D152" s="3" t="s">
        <v>4624</v>
      </c>
      <c r="E152" s="16" t="s">
        <v>1107</v>
      </c>
      <c r="G152" s="10"/>
      <c r="H152" s="16" t="s">
        <v>1108</v>
      </c>
      <c r="J152" s="12">
        <v>45849.442812499998</v>
      </c>
      <c r="K152" s="16" t="s">
        <v>1109</v>
      </c>
      <c r="M152" s="3" t="s">
        <v>317</v>
      </c>
      <c r="N152" s="16" t="s">
        <v>1110</v>
      </c>
      <c r="P152" s="3" t="b">
        <v>1</v>
      </c>
      <c r="Q152" s="16" t="s">
        <v>1587</v>
      </c>
      <c r="S152" s="3"/>
      <c r="Z152" s="3"/>
      <c r="AA152" s="3"/>
    </row>
    <row r="153" spans="2:27" ht="15.75" customHeight="1">
      <c r="B153" s="16" t="s">
        <v>142</v>
      </c>
      <c r="D153" s="3" t="s">
        <v>4656</v>
      </c>
      <c r="E153" s="16" t="s">
        <v>1111</v>
      </c>
      <c r="G153" s="10"/>
      <c r="H153" s="16" t="s">
        <v>1112</v>
      </c>
      <c r="J153" s="12">
        <v>45848.366342592592</v>
      </c>
      <c r="K153" s="16" t="s">
        <v>1113</v>
      </c>
      <c r="M153" s="2" t="s">
        <v>4703</v>
      </c>
      <c r="N153" s="16" t="s">
        <v>1114</v>
      </c>
      <c r="P153" s="3" t="b">
        <v>1</v>
      </c>
      <c r="Q153" s="16" t="s">
        <v>1588</v>
      </c>
      <c r="S153" s="3"/>
      <c r="Z153" s="3"/>
      <c r="AA153" s="3"/>
    </row>
    <row r="154" spans="2:27" ht="15.75" customHeight="1">
      <c r="B154" s="16" t="s">
        <v>143</v>
      </c>
      <c r="D154" s="3" t="s">
        <v>4592</v>
      </c>
      <c r="E154" s="16" t="s">
        <v>1115</v>
      </c>
      <c r="G154" s="10"/>
      <c r="H154" s="16" t="s">
        <v>1116</v>
      </c>
      <c r="J154" s="12">
        <v>45846.799664351849</v>
      </c>
      <c r="K154" s="16" t="s">
        <v>1117</v>
      </c>
      <c r="M154" s="2" t="s">
        <v>4704</v>
      </c>
      <c r="N154" s="16" t="s">
        <v>1118</v>
      </c>
      <c r="P154" s="3" t="b">
        <v>1</v>
      </c>
      <c r="Q154" s="16" t="s">
        <v>1589</v>
      </c>
      <c r="S154" s="3"/>
      <c r="Z154" s="3"/>
      <c r="AA154" s="3"/>
    </row>
    <row r="155" spans="2:27" ht="15.75" customHeight="1">
      <c r="B155" s="16" t="s">
        <v>144</v>
      </c>
      <c r="D155" s="3" t="s">
        <v>317</v>
      </c>
      <c r="E155" s="16" t="s">
        <v>1119</v>
      </c>
      <c r="G155" s="10"/>
      <c r="H155" s="16" t="s">
        <v>1120</v>
      </c>
      <c r="J155" s="12"/>
      <c r="K155" s="16" t="s">
        <v>1121</v>
      </c>
      <c r="M155" s="3" t="s">
        <v>317</v>
      </c>
      <c r="N155" s="16" t="s">
        <v>1122</v>
      </c>
      <c r="P155" s="3" t="b">
        <v>0</v>
      </c>
      <c r="Q155" s="16" t="s">
        <v>1590</v>
      </c>
      <c r="S155" s="3"/>
      <c r="Z155" s="3"/>
      <c r="AA155" s="3"/>
    </row>
    <row r="156" spans="2:27" ht="15.75" customHeight="1">
      <c r="B156" s="16" t="s">
        <v>145</v>
      </c>
      <c r="D156" s="3"/>
      <c r="E156" s="16" t="s">
        <v>1123</v>
      </c>
      <c r="G156" s="10"/>
      <c r="H156" s="16" t="s">
        <v>1124</v>
      </c>
      <c r="J156" s="12"/>
      <c r="K156" s="16" t="s">
        <v>1125</v>
      </c>
      <c r="M156" s="3"/>
      <c r="N156" s="16" t="s">
        <v>1126</v>
      </c>
      <c r="P156" s="3"/>
      <c r="Q156" s="16" t="s">
        <v>1591</v>
      </c>
      <c r="S156" s="3"/>
      <c r="Z156" s="3"/>
      <c r="AA156" s="3"/>
    </row>
    <row r="157" spans="2:27" ht="15.75" customHeight="1">
      <c r="B157" s="16" t="s">
        <v>146</v>
      </c>
      <c r="C157" s="4" t="s">
        <v>271</v>
      </c>
      <c r="D157" s="3" t="s">
        <v>4617</v>
      </c>
      <c r="E157" s="16" t="s">
        <v>1127</v>
      </c>
      <c r="G157" s="10"/>
      <c r="H157" s="16" t="s">
        <v>1128</v>
      </c>
      <c r="I157" s="4" t="s">
        <v>1129</v>
      </c>
      <c r="J157" s="12">
        <v>45873.748402777775</v>
      </c>
      <c r="K157" s="16" t="s">
        <v>1130</v>
      </c>
      <c r="M157" s="3"/>
      <c r="N157" s="16" t="s">
        <v>1131</v>
      </c>
      <c r="P157" s="3"/>
      <c r="Q157" s="16" t="s">
        <v>1592</v>
      </c>
      <c r="S157" s="3"/>
      <c r="Z157" s="3"/>
      <c r="AA157" s="3"/>
    </row>
    <row r="158" spans="2:27" ht="15.75" customHeight="1">
      <c r="B158" s="16" t="s">
        <v>147</v>
      </c>
      <c r="C158" s="4" t="s">
        <v>272</v>
      </c>
      <c r="D158" s="3" t="s">
        <v>4618</v>
      </c>
      <c r="E158" s="16" t="s">
        <v>1132</v>
      </c>
      <c r="G158" s="10"/>
      <c r="H158" s="16" t="s">
        <v>1133</v>
      </c>
      <c r="I158" s="4" t="s">
        <v>1134</v>
      </c>
      <c r="J158" s="12">
        <v>45857.663240740738</v>
      </c>
      <c r="K158" s="16" t="s">
        <v>1135</v>
      </c>
      <c r="M158" s="3"/>
      <c r="N158" s="16" t="s">
        <v>1136</v>
      </c>
      <c r="P158" s="3" t="b">
        <v>1</v>
      </c>
      <c r="Q158" s="16" t="s">
        <v>1593</v>
      </c>
      <c r="S158" s="3"/>
      <c r="Z158" s="3"/>
      <c r="AA158" s="3"/>
    </row>
    <row r="159" spans="2:27" ht="15.75" customHeight="1">
      <c r="B159" s="16" t="s">
        <v>148</v>
      </c>
      <c r="C159" s="4" t="s">
        <v>273</v>
      </c>
      <c r="D159" s="3" t="s">
        <v>4624</v>
      </c>
      <c r="E159" s="16" t="s">
        <v>1137</v>
      </c>
      <c r="G159" s="10"/>
      <c r="H159" s="16" t="s">
        <v>1138</v>
      </c>
      <c r="I159" s="4" t="s">
        <v>1139</v>
      </c>
      <c r="J159" s="12">
        <v>45872.390370370369</v>
      </c>
      <c r="K159" s="16" t="s">
        <v>1140</v>
      </c>
      <c r="M159" s="3"/>
      <c r="N159" s="16" t="s">
        <v>1141</v>
      </c>
      <c r="P159" s="3" t="b">
        <v>1</v>
      </c>
      <c r="Q159" s="16" t="s">
        <v>1594</v>
      </c>
      <c r="S159" s="3"/>
      <c r="Z159" s="3"/>
      <c r="AA159" s="3"/>
    </row>
    <row r="160" spans="2:27" ht="15.75" customHeight="1">
      <c r="B160" s="16" t="s">
        <v>149</v>
      </c>
      <c r="C160" s="4" t="s">
        <v>274</v>
      </c>
      <c r="D160" s="3" t="s">
        <v>4657</v>
      </c>
      <c r="E160" s="16" t="s">
        <v>1142</v>
      </c>
      <c r="G160" s="10"/>
      <c r="H160" s="16" t="s">
        <v>1143</v>
      </c>
      <c r="I160" s="4" t="s">
        <v>1144</v>
      </c>
      <c r="J160" s="12">
        <v>45872.451064814813</v>
      </c>
      <c r="K160" s="16" t="s">
        <v>1145</v>
      </c>
      <c r="M160" s="3"/>
      <c r="N160" s="16" t="s">
        <v>1146</v>
      </c>
      <c r="P160" s="3" t="b">
        <v>1</v>
      </c>
      <c r="Q160" s="16" t="s">
        <v>1595</v>
      </c>
      <c r="S160" s="3"/>
      <c r="Z160" s="3"/>
      <c r="AA160" s="3"/>
    </row>
    <row r="161" spans="2:27" ht="15.75" customHeight="1">
      <c r="B161" s="16" t="s">
        <v>150</v>
      </c>
      <c r="C161" s="4" t="s">
        <v>275</v>
      </c>
      <c r="D161" s="3" t="s">
        <v>4656</v>
      </c>
      <c r="E161" s="16" t="s">
        <v>1147</v>
      </c>
      <c r="G161" s="10"/>
      <c r="H161" s="16" t="s">
        <v>1148</v>
      </c>
      <c r="I161" s="4" t="s">
        <v>1149</v>
      </c>
      <c r="J161" s="12">
        <v>45876.370810185188</v>
      </c>
      <c r="K161" s="16" t="s">
        <v>1150</v>
      </c>
      <c r="M161" s="3"/>
      <c r="N161" s="16" t="s">
        <v>1151</v>
      </c>
      <c r="P161" s="3" t="b">
        <v>1</v>
      </c>
      <c r="Q161" s="16" t="s">
        <v>1596</v>
      </c>
      <c r="S161" s="3"/>
      <c r="Z161" s="3"/>
      <c r="AA161" s="3"/>
    </row>
    <row r="162" spans="2:27" ht="15.75" customHeight="1">
      <c r="B162" s="16" t="s">
        <v>151</v>
      </c>
      <c r="C162" s="4" t="s">
        <v>276</v>
      </c>
      <c r="D162" s="3" t="s">
        <v>4592</v>
      </c>
      <c r="E162" s="16" t="s">
        <v>1152</v>
      </c>
      <c r="G162" s="10"/>
      <c r="H162" s="16" t="s">
        <v>1153</v>
      </c>
      <c r="I162" s="4" t="s">
        <v>1154</v>
      </c>
      <c r="J162" s="12">
        <v>45876.868090277778</v>
      </c>
      <c r="K162" s="16" t="s">
        <v>1155</v>
      </c>
      <c r="M162" s="3"/>
      <c r="N162" s="16" t="s">
        <v>1156</v>
      </c>
      <c r="P162" s="3" t="b">
        <v>0</v>
      </c>
      <c r="Q162" s="16" t="s">
        <v>1597</v>
      </c>
      <c r="S162" s="3"/>
      <c r="Z162" s="3"/>
      <c r="AA162" s="3"/>
    </row>
    <row r="163" spans="2:27" ht="15.75" customHeight="1">
      <c r="B163" s="16" t="s">
        <v>152</v>
      </c>
      <c r="C163" s="4" t="s">
        <v>277</v>
      </c>
      <c r="D163" s="3" t="s">
        <v>4624</v>
      </c>
      <c r="E163" s="16" t="s">
        <v>1157</v>
      </c>
      <c r="G163" s="10"/>
      <c r="H163" s="16" t="s">
        <v>1158</v>
      </c>
      <c r="I163" s="4" t="s">
        <v>1159</v>
      </c>
      <c r="J163" s="12">
        <v>45877.429409722223</v>
      </c>
      <c r="K163" s="16" t="s">
        <v>1160</v>
      </c>
      <c r="M163" s="3"/>
      <c r="N163" s="16" t="s">
        <v>1161</v>
      </c>
      <c r="P163" s="3"/>
      <c r="Q163" s="16" t="s">
        <v>1598</v>
      </c>
      <c r="S163" s="3"/>
      <c r="Z163" s="3"/>
      <c r="AA163" s="3"/>
    </row>
    <row r="164" spans="2:27" ht="15.75" customHeight="1">
      <c r="B164" s="16" t="s">
        <v>153</v>
      </c>
      <c r="C164" s="4" t="s">
        <v>278</v>
      </c>
      <c r="D164" s="3" t="s">
        <v>4656</v>
      </c>
      <c r="E164" s="16" t="s">
        <v>1162</v>
      </c>
      <c r="G164" s="10"/>
      <c r="H164" s="16" t="s">
        <v>1163</v>
      </c>
      <c r="I164" s="4" t="s">
        <v>1164</v>
      </c>
      <c r="J164" s="12">
        <v>45873.707291666666</v>
      </c>
      <c r="K164" s="16" t="s">
        <v>1165</v>
      </c>
      <c r="M164" s="3"/>
      <c r="N164" s="16" t="s">
        <v>1166</v>
      </c>
      <c r="P164" s="3"/>
      <c r="Q164" s="16" t="s">
        <v>1599</v>
      </c>
      <c r="S164" s="3"/>
      <c r="Z164" s="3"/>
      <c r="AA164" s="3"/>
    </row>
    <row r="165" spans="2:27" ht="15.75" customHeight="1">
      <c r="B165" s="16" t="s">
        <v>154</v>
      </c>
      <c r="D165" s="3" t="s">
        <v>4617</v>
      </c>
      <c r="E165" s="16" t="s">
        <v>1167</v>
      </c>
      <c r="G165" s="10"/>
      <c r="H165" s="16" t="s">
        <v>1168</v>
      </c>
      <c r="J165" s="12">
        <v>45846.575856481482</v>
      </c>
      <c r="K165" s="16" t="s">
        <v>1169</v>
      </c>
      <c r="M165" s="3"/>
      <c r="N165" s="16" t="s">
        <v>1170</v>
      </c>
      <c r="P165" s="3"/>
      <c r="Q165" s="16" t="s">
        <v>1600</v>
      </c>
      <c r="S165" s="3"/>
      <c r="Z165" s="3"/>
      <c r="AA165" s="3"/>
    </row>
    <row r="166" spans="2:27" ht="15.75" customHeight="1">
      <c r="B166" s="16" t="s">
        <v>155</v>
      </c>
      <c r="D166" s="3" t="s">
        <v>4617</v>
      </c>
      <c r="E166" s="16" t="s">
        <v>1171</v>
      </c>
      <c r="G166" s="10"/>
      <c r="H166" s="16" t="s">
        <v>1172</v>
      </c>
      <c r="J166" s="12">
        <v>45857.434525462966</v>
      </c>
      <c r="K166" s="16" t="s">
        <v>1173</v>
      </c>
      <c r="M166" s="3"/>
      <c r="N166" s="16" t="s">
        <v>1174</v>
      </c>
      <c r="P166" s="3"/>
      <c r="Q166" s="16" t="s">
        <v>1601</v>
      </c>
      <c r="S166" s="3"/>
      <c r="Z166" s="3"/>
      <c r="AA166" s="3"/>
    </row>
    <row r="167" spans="2:27" ht="15.75" customHeight="1">
      <c r="B167" s="16" t="s">
        <v>156</v>
      </c>
      <c r="C167" s="4" t="s">
        <v>279</v>
      </c>
      <c r="D167" s="3" t="s">
        <v>4658</v>
      </c>
      <c r="E167" s="16" t="s">
        <v>1175</v>
      </c>
      <c r="G167" s="10"/>
      <c r="H167" s="16" t="s">
        <v>1176</v>
      </c>
      <c r="J167" s="12"/>
      <c r="K167" s="16" t="s">
        <v>1177</v>
      </c>
      <c r="M167" s="3"/>
      <c r="N167" s="16" t="s">
        <v>1178</v>
      </c>
      <c r="P167" s="3"/>
      <c r="Q167" s="16" t="s">
        <v>1602</v>
      </c>
      <c r="S167" s="3"/>
      <c r="Z167" s="3"/>
      <c r="AA167" s="3"/>
    </row>
    <row r="168" spans="2:27" ht="15.75" customHeight="1">
      <c r="B168" s="16" t="s">
        <v>157</v>
      </c>
      <c r="C168" s="4" t="s">
        <v>280</v>
      </c>
      <c r="D168" s="3" t="s">
        <v>4659</v>
      </c>
      <c r="E168" s="16" t="s">
        <v>1179</v>
      </c>
      <c r="G168" s="10"/>
      <c r="H168" s="16" t="s">
        <v>1180</v>
      </c>
      <c r="J168" s="12"/>
      <c r="K168" s="16" t="s">
        <v>1181</v>
      </c>
      <c r="M168" s="3"/>
      <c r="N168" s="16" t="s">
        <v>1182</v>
      </c>
      <c r="P168" s="3" t="b">
        <v>1</v>
      </c>
      <c r="Q168" s="16" t="s">
        <v>1603</v>
      </c>
      <c r="S168" s="3"/>
      <c r="Z168" s="3"/>
      <c r="AA168" s="3"/>
    </row>
    <row r="169" spans="2:27" ht="15.75" customHeight="1">
      <c r="B169" s="16" t="s">
        <v>158</v>
      </c>
      <c r="C169" s="4" t="s">
        <v>281</v>
      </c>
      <c r="D169" s="3" t="s">
        <v>4660</v>
      </c>
      <c r="E169" s="16" t="s">
        <v>1183</v>
      </c>
      <c r="G169" s="10"/>
      <c r="H169" s="16" t="s">
        <v>1184</v>
      </c>
      <c r="J169" s="12"/>
      <c r="K169" s="16" t="s">
        <v>1185</v>
      </c>
      <c r="M169" s="3"/>
      <c r="N169" s="16" t="s">
        <v>1186</v>
      </c>
      <c r="P169" s="3" t="b">
        <v>1</v>
      </c>
      <c r="Q169" s="16" t="s">
        <v>1604</v>
      </c>
      <c r="S169" s="3"/>
      <c r="Z169" s="3"/>
      <c r="AA169" s="3"/>
    </row>
    <row r="170" spans="2:27" ht="15.75" customHeight="1">
      <c r="B170" s="16" t="s">
        <v>159</v>
      </c>
      <c r="C170" s="4" t="s">
        <v>282</v>
      </c>
      <c r="D170" s="3" t="s">
        <v>4661</v>
      </c>
      <c r="E170" s="16" t="s">
        <v>1187</v>
      </c>
      <c r="G170" s="10"/>
      <c r="H170" s="16" t="s">
        <v>1188</v>
      </c>
      <c r="J170" s="12"/>
      <c r="K170" s="16" t="s">
        <v>1189</v>
      </c>
      <c r="M170" s="3"/>
      <c r="N170" s="16" t="s">
        <v>1190</v>
      </c>
      <c r="P170" s="3" t="b">
        <v>1</v>
      </c>
      <c r="Q170" s="16" t="s">
        <v>1605</v>
      </c>
      <c r="S170" s="3"/>
      <c r="Z170" s="3"/>
      <c r="AA170" s="3"/>
    </row>
    <row r="171" spans="2:27" ht="15.75" customHeight="1">
      <c r="B171" s="16" t="s">
        <v>160</v>
      </c>
      <c r="C171" s="4" t="s">
        <v>283</v>
      </c>
      <c r="D171" s="3" t="s">
        <v>4662</v>
      </c>
      <c r="E171" s="16" t="s">
        <v>1191</v>
      </c>
      <c r="G171" s="10"/>
      <c r="H171" s="16" t="s">
        <v>1192</v>
      </c>
      <c r="J171" s="12"/>
      <c r="K171" s="16" t="s">
        <v>1193</v>
      </c>
      <c r="M171" s="3"/>
      <c r="N171" s="16" t="s">
        <v>1194</v>
      </c>
      <c r="P171" s="3" t="b">
        <v>0</v>
      </c>
      <c r="Q171" s="16" t="s">
        <v>1606</v>
      </c>
      <c r="S171" s="3"/>
      <c r="Z171" s="3"/>
      <c r="AA171" s="3"/>
    </row>
    <row r="172" spans="2:27" ht="15.75" customHeight="1">
      <c r="B172" s="16" t="s">
        <v>161</v>
      </c>
      <c r="C172" s="4" t="s">
        <v>284</v>
      </c>
      <c r="D172" s="3" t="s">
        <v>4663</v>
      </c>
      <c r="E172" s="16" t="s">
        <v>1195</v>
      </c>
      <c r="G172" s="10"/>
      <c r="H172" s="16" t="s">
        <v>1196</v>
      </c>
      <c r="J172" s="12"/>
      <c r="K172" s="16" t="s">
        <v>1197</v>
      </c>
      <c r="M172" s="3"/>
      <c r="N172" s="16" t="s">
        <v>1198</v>
      </c>
      <c r="P172" s="3"/>
      <c r="Q172" s="16" t="s">
        <v>1607</v>
      </c>
      <c r="S172" s="3"/>
      <c r="Z172" s="3"/>
      <c r="AA172" s="3"/>
    </row>
    <row r="173" spans="2:27" ht="15.75" customHeight="1">
      <c r="B173" s="16" t="s">
        <v>162</v>
      </c>
      <c r="C173" s="4" t="s">
        <v>285</v>
      </c>
      <c r="D173" s="3" t="s">
        <v>4664</v>
      </c>
      <c r="E173" s="16" t="s">
        <v>1199</v>
      </c>
      <c r="G173" s="10"/>
      <c r="H173" s="16" t="s">
        <v>1200</v>
      </c>
      <c r="J173" s="12"/>
      <c r="K173" s="16" t="s">
        <v>1201</v>
      </c>
      <c r="M173" s="3"/>
      <c r="N173" s="16" t="s">
        <v>1202</v>
      </c>
      <c r="P173" s="3"/>
      <c r="Q173" s="16" t="s">
        <v>1608</v>
      </c>
      <c r="S173" s="3"/>
      <c r="Z173" s="3"/>
      <c r="AA173" s="3"/>
    </row>
    <row r="174" spans="2:27" ht="15.75" customHeight="1">
      <c r="B174" s="16" t="s">
        <v>163</v>
      </c>
      <c r="C174" s="4" t="s">
        <v>286</v>
      </c>
      <c r="D174" s="3" t="s">
        <v>4665</v>
      </c>
      <c r="E174" s="16" t="s">
        <v>1203</v>
      </c>
      <c r="G174" s="10"/>
      <c r="H174" s="16" t="s">
        <v>1204</v>
      </c>
      <c r="J174" s="12"/>
      <c r="K174" s="16" t="s">
        <v>1205</v>
      </c>
      <c r="L174" s="4" t="s">
        <v>1431</v>
      </c>
      <c r="M174" s="2" t="s">
        <v>4705</v>
      </c>
      <c r="N174" s="16" t="s">
        <v>1206</v>
      </c>
      <c r="P174" s="3"/>
      <c r="Q174" s="16" t="s">
        <v>1609</v>
      </c>
      <c r="S174" s="3"/>
      <c r="Z174" s="3"/>
      <c r="AA174" s="3"/>
    </row>
    <row r="175" spans="2:27" ht="15.75" customHeight="1">
      <c r="B175" s="16" t="s">
        <v>164</v>
      </c>
      <c r="D175" s="3"/>
      <c r="E175" s="16" t="s">
        <v>1207</v>
      </c>
      <c r="G175" s="10"/>
      <c r="H175" s="16" t="s">
        <v>1208</v>
      </c>
      <c r="J175" s="12"/>
      <c r="K175" s="16" t="s">
        <v>1209</v>
      </c>
      <c r="M175" s="3"/>
      <c r="N175" s="16" t="s">
        <v>1210</v>
      </c>
      <c r="P175" s="3"/>
      <c r="Q175" s="16" t="s">
        <v>1610</v>
      </c>
      <c r="S175" s="3"/>
      <c r="Z175" s="3"/>
      <c r="AA175" s="3"/>
    </row>
    <row r="176" spans="2:27" ht="15.75" customHeight="1">
      <c r="B176" s="16" t="s">
        <v>165</v>
      </c>
      <c r="D176" s="3"/>
      <c r="E176" s="16" t="s">
        <v>1211</v>
      </c>
      <c r="G176" s="10"/>
      <c r="H176" s="16" t="s">
        <v>1212</v>
      </c>
      <c r="J176" s="12"/>
      <c r="K176" s="16" t="s">
        <v>1213</v>
      </c>
      <c r="M176" s="3"/>
      <c r="N176" s="16" t="s">
        <v>1214</v>
      </c>
      <c r="P176" s="3"/>
      <c r="Q176" s="16" t="s">
        <v>1611</v>
      </c>
      <c r="S176" s="3"/>
      <c r="Z176" s="3"/>
      <c r="AA176" s="3"/>
    </row>
    <row r="177" spans="2:27" ht="15.75" customHeight="1">
      <c r="B177" s="16" t="s">
        <v>166</v>
      </c>
      <c r="C177" s="4" t="s">
        <v>287</v>
      </c>
      <c r="D177" s="3" t="s">
        <v>4666</v>
      </c>
      <c r="E177" s="16" t="s">
        <v>1215</v>
      </c>
      <c r="G177" s="10"/>
      <c r="H177" s="16" t="s">
        <v>1216</v>
      </c>
      <c r="I177" s="4" t="s">
        <v>1217</v>
      </c>
      <c r="J177" s="12">
        <v>45649.656435185185</v>
      </c>
      <c r="K177" s="16" t="s">
        <v>1218</v>
      </c>
      <c r="M177" s="3"/>
      <c r="N177" s="16" t="s">
        <v>1219</v>
      </c>
      <c r="P177" s="3"/>
      <c r="Q177" s="16" t="s">
        <v>1612</v>
      </c>
      <c r="S177" s="3"/>
      <c r="Z177" s="3"/>
      <c r="AA177" s="3"/>
    </row>
    <row r="178" spans="2:27" ht="15.75" customHeight="1">
      <c r="B178" s="16" t="s">
        <v>167</v>
      </c>
      <c r="C178" s="4" t="s">
        <v>288</v>
      </c>
      <c r="D178" s="3" t="s">
        <v>4618</v>
      </c>
      <c r="E178" s="16" t="s">
        <v>1220</v>
      </c>
      <c r="G178" s="10"/>
      <c r="H178" s="16" t="s">
        <v>1221</v>
      </c>
      <c r="I178" s="4" t="s">
        <v>1222</v>
      </c>
      <c r="J178" s="12">
        <v>45649.68340277778</v>
      </c>
      <c r="K178" s="16" t="s">
        <v>1223</v>
      </c>
      <c r="M178" s="3"/>
      <c r="N178" s="16" t="s">
        <v>1224</v>
      </c>
      <c r="P178" s="3"/>
      <c r="Q178" s="16" t="s">
        <v>1613</v>
      </c>
      <c r="S178" s="3"/>
      <c r="Z178" s="3"/>
      <c r="AA178" s="3"/>
    </row>
    <row r="179" spans="2:27" ht="15.75" customHeight="1">
      <c r="B179" s="16" t="s">
        <v>168</v>
      </c>
      <c r="C179" s="4" t="s">
        <v>289</v>
      </c>
      <c r="D179" s="3" t="s">
        <v>4624</v>
      </c>
      <c r="E179" s="16" t="s">
        <v>1225</v>
      </c>
      <c r="G179" s="10"/>
      <c r="H179" s="16" t="s">
        <v>1226</v>
      </c>
      <c r="I179" s="4" t="s">
        <v>1227</v>
      </c>
      <c r="J179" s="12">
        <v>45652.476817129631</v>
      </c>
      <c r="K179" s="16" t="s">
        <v>1228</v>
      </c>
      <c r="M179" s="3"/>
      <c r="N179" s="16" t="s">
        <v>1229</v>
      </c>
      <c r="P179" s="3"/>
      <c r="Q179" s="16" t="s">
        <v>1614</v>
      </c>
      <c r="S179" s="3"/>
      <c r="Z179" s="3"/>
      <c r="AA179" s="3"/>
    </row>
    <row r="180" spans="2:27" ht="15.75" customHeight="1">
      <c r="B180" s="16" t="s">
        <v>169</v>
      </c>
      <c r="C180" s="4" t="s">
        <v>290</v>
      </c>
      <c r="D180" s="3" t="s">
        <v>4657</v>
      </c>
      <c r="E180" s="16" t="s">
        <v>1230</v>
      </c>
      <c r="G180" s="10"/>
      <c r="H180" s="16" t="s">
        <v>1231</v>
      </c>
      <c r="I180" s="4" t="s">
        <v>1232</v>
      </c>
      <c r="J180" s="12">
        <v>45652.588495370372</v>
      </c>
      <c r="K180" s="16" t="s">
        <v>1233</v>
      </c>
      <c r="M180" s="3"/>
      <c r="N180" s="16" t="s">
        <v>1234</v>
      </c>
      <c r="P180" s="3"/>
      <c r="Q180" s="16" t="s">
        <v>1615</v>
      </c>
      <c r="S180" s="3"/>
      <c r="Z180" s="3"/>
      <c r="AA180" s="3"/>
    </row>
    <row r="181" spans="2:27" ht="15.75" customHeight="1">
      <c r="B181" s="16" t="s">
        <v>170</v>
      </c>
      <c r="C181" s="4" t="s">
        <v>291</v>
      </c>
      <c r="D181" s="3"/>
      <c r="E181" s="16" t="s">
        <v>1235</v>
      </c>
      <c r="G181" s="10"/>
      <c r="H181" s="16" t="s">
        <v>1236</v>
      </c>
      <c r="I181" s="4" t="s">
        <v>1237</v>
      </c>
      <c r="J181" s="12"/>
      <c r="K181" s="16" t="s">
        <v>1238</v>
      </c>
      <c r="M181" s="3"/>
      <c r="N181" s="16" t="s">
        <v>1239</v>
      </c>
      <c r="P181" s="3"/>
      <c r="Q181" s="16" t="s">
        <v>1616</v>
      </c>
      <c r="S181" s="3"/>
      <c r="Z181" s="3"/>
      <c r="AA181" s="3"/>
    </row>
    <row r="182" spans="2:27" ht="15.75" customHeight="1">
      <c r="B182" s="16" t="s">
        <v>171</v>
      </c>
      <c r="C182" s="4" t="s">
        <v>292</v>
      </c>
      <c r="D182" s="3" t="s">
        <v>4592</v>
      </c>
      <c r="E182" s="16" t="s">
        <v>1240</v>
      </c>
      <c r="G182" s="10"/>
      <c r="H182" s="16" t="s">
        <v>1241</v>
      </c>
      <c r="I182" s="4" t="s">
        <v>1242</v>
      </c>
      <c r="J182" s="12">
        <v>45656.773831018516</v>
      </c>
      <c r="K182" s="16" t="s">
        <v>1243</v>
      </c>
      <c r="M182" s="3"/>
      <c r="N182" s="16" t="s">
        <v>1244</v>
      </c>
      <c r="P182" s="3"/>
      <c r="Q182" s="16" t="s">
        <v>1617</v>
      </c>
      <c r="S182" s="3"/>
      <c r="Z182" s="3"/>
      <c r="AA182" s="3"/>
    </row>
    <row r="183" spans="2:27" ht="15.75" customHeight="1">
      <c r="B183" s="16" t="s">
        <v>172</v>
      </c>
      <c r="C183" s="4" t="s">
        <v>293</v>
      </c>
      <c r="D183" s="3" t="s">
        <v>4655</v>
      </c>
      <c r="E183" s="16" t="s">
        <v>1245</v>
      </c>
      <c r="G183" s="10"/>
      <c r="H183" s="16" t="s">
        <v>1246</v>
      </c>
      <c r="I183" s="4" t="s">
        <v>1247</v>
      </c>
      <c r="J183" s="12">
        <v>45662.432696759257</v>
      </c>
      <c r="K183" s="16" t="s">
        <v>1248</v>
      </c>
      <c r="M183" s="3"/>
      <c r="N183" s="16" t="s">
        <v>1249</v>
      </c>
      <c r="P183" s="3"/>
      <c r="Q183" s="16" t="s">
        <v>1618</v>
      </c>
      <c r="S183" s="3"/>
      <c r="Z183" s="3"/>
      <c r="AA183" s="3"/>
    </row>
    <row r="184" spans="2:27" ht="15.75" customHeight="1">
      <c r="B184" s="16" t="s">
        <v>173</v>
      </c>
      <c r="C184" s="4" t="s">
        <v>294</v>
      </c>
      <c r="D184" s="3" t="s">
        <v>317</v>
      </c>
      <c r="E184" s="16" t="s">
        <v>1250</v>
      </c>
      <c r="G184" s="10"/>
      <c r="H184" s="16" t="s">
        <v>1251</v>
      </c>
      <c r="I184" s="4" t="s">
        <v>1252</v>
      </c>
      <c r="J184" s="12"/>
      <c r="K184" s="16" t="s">
        <v>1253</v>
      </c>
      <c r="M184" s="3"/>
      <c r="N184" s="16" t="s">
        <v>1254</v>
      </c>
      <c r="P184" s="3"/>
      <c r="Q184" s="16" t="s">
        <v>1619</v>
      </c>
      <c r="S184" s="3"/>
      <c r="Z184" s="3"/>
      <c r="AA184" s="3"/>
    </row>
    <row r="185" spans="2:27" ht="15.75" customHeight="1">
      <c r="B185" s="16" t="s">
        <v>174</v>
      </c>
      <c r="C185" s="4" t="s">
        <v>295</v>
      </c>
      <c r="D185" s="3" t="s">
        <v>4666</v>
      </c>
      <c r="E185" s="16" t="s">
        <v>1255</v>
      </c>
      <c r="G185" s="10"/>
      <c r="H185" s="16" t="s">
        <v>1256</v>
      </c>
      <c r="I185" s="4" t="s">
        <v>1257</v>
      </c>
      <c r="J185" s="12">
        <v>45704.730115740742</v>
      </c>
      <c r="K185" s="16" t="s">
        <v>1258</v>
      </c>
      <c r="M185" s="3"/>
      <c r="N185" s="16" t="s">
        <v>1259</v>
      </c>
      <c r="P185" s="3"/>
      <c r="Q185" s="16" t="s">
        <v>1620</v>
      </c>
      <c r="S185" s="3"/>
      <c r="Z185" s="3"/>
      <c r="AA185" s="3"/>
    </row>
    <row r="186" spans="2:27" ht="15.75" customHeight="1">
      <c r="B186" s="16" t="s">
        <v>175</v>
      </c>
      <c r="D186" s="3"/>
      <c r="E186" s="16" t="s">
        <v>1260</v>
      </c>
      <c r="G186" s="10"/>
      <c r="H186" s="16" t="s">
        <v>1261</v>
      </c>
      <c r="J186" s="12"/>
      <c r="K186" s="16" t="s">
        <v>1262</v>
      </c>
      <c r="M186" s="3"/>
      <c r="N186" s="16" t="s">
        <v>1263</v>
      </c>
      <c r="P186" s="3"/>
      <c r="Q186" s="16" t="s">
        <v>1621</v>
      </c>
      <c r="S186" s="3"/>
      <c r="Z186" s="3"/>
      <c r="AA186" s="3"/>
    </row>
    <row r="187" spans="2:27" ht="15.75" customHeight="1">
      <c r="B187" s="16" t="s">
        <v>176</v>
      </c>
      <c r="C187" s="4" t="s">
        <v>296</v>
      </c>
      <c r="D187" s="3" t="s">
        <v>4667</v>
      </c>
      <c r="E187" s="16" t="s">
        <v>1264</v>
      </c>
      <c r="G187" s="10"/>
      <c r="H187" s="16" t="s">
        <v>1265</v>
      </c>
      <c r="J187" s="12"/>
      <c r="K187" s="16" t="s">
        <v>1266</v>
      </c>
      <c r="M187" s="3"/>
      <c r="N187" s="16" t="s">
        <v>1267</v>
      </c>
      <c r="P187" s="3"/>
      <c r="Q187" s="16" t="s">
        <v>1622</v>
      </c>
      <c r="S187" s="3"/>
      <c r="Z187" s="3"/>
      <c r="AA187" s="3"/>
    </row>
    <row r="188" spans="2:27" ht="15.75" customHeight="1">
      <c r="B188" s="16" t="s">
        <v>177</v>
      </c>
      <c r="C188" s="4" t="s">
        <v>297</v>
      </c>
      <c r="D188" s="3" t="s">
        <v>4668</v>
      </c>
      <c r="E188" s="16" t="s">
        <v>1268</v>
      </c>
      <c r="G188" s="10"/>
      <c r="H188" s="16" t="s">
        <v>1269</v>
      </c>
      <c r="J188" s="12"/>
      <c r="K188" s="16" t="s">
        <v>1270</v>
      </c>
      <c r="M188" s="3"/>
      <c r="N188" s="16" t="s">
        <v>1271</v>
      </c>
      <c r="P188" s="3"/>
      <c r="Q188" s="16" t="s">
        <v>1623</v>
      </c>
      <c r="S188" s="3"/>
      <c r="Z188" s="3"/>
      <c r="AA188" s="3"/>
    </row>
    <row r="189" spans="2:27" ht="15.75" customHeight="1">
      <c r="B189" s="16" t="s">
        <v>178</v>
      </c>
      <c r="C189" s="4" t="s">
        <v>298</v>
      </c>
      <c r="D189" s="3" t="s">
        <v>4669</v>
      </c>
      <c r="E189" s="16" t="s">
        <v>1272</v>
      </c>
      <c r="G189" s="10"/>
      <c r="H189" s="16" t="s">
        <v>1273</v>
      </c>
      <c r="J189" s="12"/>
      <c r="K189" s="16" t="s">
        <v>1274</v>
      </c>
      <c r="M189" s="3"/>
      <c r="N189" s="16" t="s">
        <v>1275</v>
      </c>
      <c r="P189" s="3"/>
      <c r="Q189" s="16" t="s">
        <v>1624</v>
      </c>
      <c r="S189" s="3"/>
      <c r="Z189" s="3"/>
      <c r="AA189" s="3"/>
    </row>
    <row r="190" spans="2:27" ht="15.75" customHeight="1">
      <c r="B190" s="16" t="s">
        <v>179</v>
      </c>
      <c r="C190" s="4" t="s">
        <v>299</v>
      </c>
      <c r="D190" s="3" t="s">
        <v>4670</v>
      </c>
      <c r="E190" s="16" t="s">
        <v>1276</v>
      </c>
      <c r="G190" s="10"/>
      <c r="H190" s="16" t="s">
        <v>1277</v>
      </c>
      <c r="J190" s="12"/>
      <c r="K190" s="16" t="s">
        <v>1278</v>
      </c>
      <c r="M190" s="3"/>
      <c r="N190" s="16" t="s">
        <v>1279</v>
      </c>
      <c r="P190" s="3"/>
      <c r="Q190" s="16" t="s">
        <v>1625</v>
      </c>
      <c r="S190" s="3"/>
      <c r="Z190" s="3"/>
      <c r="AA190" s="3"/>
    </row>
    <row r="191" spans="2:27" ht="15.75" customHeight="1">
      <c r="B191" s="16" t="s">
        <v>180</v>
      </c>
      <c r="C191" s="4" t="s">
        <v>300</v>
      </c>
      <c r="D191" s="3"/>
      <c r="E191" s="16" t="s">
        <v>1280</v>
      </c>
      <c r="G191" s="10"/>
      <c r="H191" s="16" t="s">
        <v>1281</v>
      </c>
      <c r="J191" s="12"/>
      <c r="K191" s="16" t="s">
        <v>1282</v>
      </c>
      <c r="M191" s="3"/>
      <c r="N191" s="16" t="s">
        <v>1283</v>
      </c>
      <c r="P191" s="3"/>
      <c r="Q191" s="16" t="s">
        <v>1626</v>
      </c>
      <c r="S191" s="3"/>
      <c r="Z191" s="3"/>
      <c r="AA191" s="3"/>
    </row>
    <row r="192" spans="2:27" ht="15.75" customHeight="1">
      <c r="B192" s="16" t="s">
        <v>181</v>
      </c>
      <c r="C192" s="4" t="s">
        <v>301</v>
      </c>
      <c r="D192" s="3" t="s">
        <v>4671</v>
      </c>
      <c r="E192" s="16" t="s">
        <v>1284</v>
      </c>
      <c r="G192" s="10"/>
      <c r="H192" s="16" t="s">
        <v>1285</v>
      </c>
      <c r="J192" s="12"/>
      <c r="K192" s="16" t="s">
        <v>1286</v>
      </c>
      <c r="M192" s="3"/>
      <c r="N192" s="16" t="s">
        <v>1287</v>
      </c>
      <c r="P192" s="3"/>
      <c r="Q192" s="16" t="s">
        <v>1627</v>
      </c>
      <c r="S192" s="3"/>
      <c r="Z192" s="3"/>
      <c r="AA192" s="3"/>
    </row>
    <row r="193" spans="2:27" ht="15.75" customHeight="1">
      <c r="B193" s="16" t="s">
        <v>182</v>
      </c>
      <c r="C193" s="4" t="s">
        <v>302</v>
      </c>
      <c r="D193" s="3" t="s">
        <v>4672</v>
      </c>
      <c r="E193" s="16" t="s">
        <v>1288</v>
      </c>
      <c r="G193" s="10"/>
      <c r="H193" s="16" t="s">
        <v>1289</v>
      </c>
      <c r="J193" s="12"/>
      <c r="K193" s="16" t="s">
        <v>1290</v>
      </c>
      <c r="M193" s="3"/>
      <c r="N193" s="16" t="s">
        <v>1291</v>
      </c>
      <c r="P193" s="3"/>
      <c r="Q193" s="16" t="s">
        <v>1628</v>
      </c>
      <c r="S193" s="3"/>
      <c r="Z193" s="3"/>
      <c r="AA193" s="3"/>
    </row>
    <row r="194" spans="2:27" ht="15.75" customHeight="1">
      <c r="B194" s="16" t="s">
        <v>183</v>
      </c>
      <c r="C194" s="4" t="s">
        <v>303</v>
      </c>
      <c r="D194" s="3" t="s">
        <v>317</v>
      </c>
      <c r="E194" s="16" t="s">
        <v>1292</v>
      </c>
      <c r="G194" s="10"/>
      <c r="H194" s="16" t="s">
        <v>1293</v>
      </c>
      <c r="J194" s="12"/>
      <c r="K194" s="16" t="s">
        <v>1294</v>
      </c>
      <c r="M194" s="2" t="s">
        <v>317</v>
      </c>
      <c r="N194" s="16" t="s">
        <v>1295</v>
      </c>
      <c r="P194" s="3"/>
      <c r="Q194" s="16" t="s">
        <v>1629</v>
      </c>
      <c r="S194" s="3"/>
      <c r="Z194" s="3"/>
      <c r="AA194" s="3"/>
    </row>
    <row r="195" spans="2:27" ht="15.75" customHeight="1">
      <c r="B195" s="16" t="s">
        <v>184</v>
      </c>
      <c r="D195" s="3"/>
      <c r="E195" s="16" t="s">
        <v>1296</v>
      </c>
      <c r="G195" s="10"/>
      <c r="H195" s="16" t="s">
        <v>1297</v>
      </c>
      <c r="J195" s="12"/>
      <c r="K195" s="16" t="s">
        <v>1298</v>
      </c>
      <c r="M195" s="3"/>
      <c r="N195" s="16" t="s">
        <v>1299</v>
      </c>
      <c r="P195" s="3"/>
      <c r="Q195" s="16" t="s">
        <v>1630</v>
      </c>
      <c r="S195" s="3"/>
      <c r="Z195" s="3"/>
      <c r="AA195" s="3"/>
    </row>
    <row r="196" spans="2:27" ht="15.75" customHeight="1">
      <c r="B196" s="16" t="s">
        <v>185</v>
      </c>
      <c r="D196" s="3" t="s">
        <v>4666</v>
      </c>
      <c r="E196" s="16" t="s">
        <v>1300</v>
      </c>
      <c r="G196" s="10"/>
      <c r="H196" s="16" t="s">
        <v>1301</v>
      </c>
      <c r="J196" s="12">
        <v>45642.737164351849</v>
      </c>
      <c r="K196" s="16" t="s">
        <v>1302</v>
      </c>
      <c r="M196" s="3"/>
      <c r="N196" s="16" t="s">
        <v>1303</v>
      </c>
      <c r="P196" s="3"/>
      <c r="Q196" s="16" t="s">
        <v>1631</v>
      </c>
      <c r="S196" s="3"/>
      <c r="Z196" s="3"/>
      <c r="AA196" s="3"/>
    </row>
    <row r="197" spans="2:27" ht="15.75" customHeight="1">
      <c r="B197" s="16" t="s">
        <v>186</v>
      </c>
      <c r="D197" s="3" t="s">
        <v>4666</v>
      </c>
      <c r="E197" s="16" t="s">
        <v>1304</v>
      </c>
      <c r="G197" s="10"/>
      <c r="H197" s="16" t="s">
        <v>1305</v>
      </c>
      <c r="J197" s="12">
        <v>45649.656099537038</v>
      </c>
      <c r="K197" s="16" t="s">
        <v>1306</v>
      </c>
      <c r="M197" s="3"/>
      <c r="N197" s="16" t="s">
        <v>1307</v>
      </c>
      <c r="P197" s="3"/>
      <c r="Q197" s="16" t="s">
        <v>1632</v>
      </c>
      <c r="S197" s="3"/>
      <c r="Z197" s="3"/>
      <c r="AA197" s="3"/>
    </row>
    <row r="198" spans="2:27" ht="15.75" customHeight="1">
      <c r="B198" s="16" t="s">
        <v>187</v>
      </c>
      <c r="C198" s="4" t="s">
        <v>304</v>
      </c>
      <c r="D198" s="3" t="s">
        <v>4673</v>
      </c>
      <c r="E198" s="16" t="s">
        <v>1308</v>
      </c>
      <c r="G198" s="10"/>
      <c r="H198" s="16" t="s">
        <v>1309</v>
      </c>
      <c r="J198" s="12"/>
      <c r="K198" s="16" t="s">
        <v>1310</v>
      </c>
      <c r="M198" s="3"/>
      <c r="N198" s="16" t="s">
        <v>1311</v>
      </c>
      <c r="P198" s="3"/>
      <c r="Q198" s="16" t="s">
        <v>1633</v>
      </c>
      <c r="S198" s="3"/>
      <c r="Z198" s="3"/>
      <c r="AA198" s="3"/>
    </row>
    <row r="199" spans="2:27" ht="15.75" customHeight="1">
      <c r="B199" s="16" t="s">
        <v>188</v>
      </c>
      <c r="C199" s="4" t="s">
        <v>305</v>
      </c>
      <c r="D199" s="3" t="s">
        <v>4674</v>
      </c>
      <c r="E199" s="16" t="s">
        <v>1312</v>
      </c>
      <c r="G199" s="10"/>
      <c r="H199" s="16" t="s">
        <v>1313</v>
      </c>
      <c r="J199" s="12"/>
      <c r="K199" s="16" t="s">
        <v>1314</v>
      </c>
      <c r="M199" s="3"/>
      <c r="N199" s="16" t="s">
        <v>1315</v>
      </c>
      <c r="P199" s="3"/>
      <c r="Q199" s="16" t="s">
        <v>1634</v>
      </c>
      <c r="S199" s="3"/>
      <c r="Z199" s="3"/>
      <c r="AA199" s="3"/>
    </row>
    <row r="200" spans="2:27" ht="15.75" customHeight="1">
      <c r="B200" s="16" t="s">
        <v>189</v>
      </c>
      <c r="C200" s="4" t="s">
        <v>306</v>
      </c>
      <c r="D200" s="3" t="s">
        <v>4675</v>
      </c>
      <c r="E200" s="16" t="s">
        <v>1316</v>
      </c>
      <c r="G200" s="10"/>
      <c r="H200" s="16" t="s">
        <v>1317</v>
      </c>
      <c r="J200" s="12"/>
      <c r="K200" s="16" t="s">
        <v>1318</v>
      </c>
      <c r="M200" s="3"/>
      <c r="N200" s="16" t="s">
        <v>1319</v>
      </c>
      <c r="P200" s="3"/>
      <c r="Q200" s="16" t="s">
        <v>1635</v>
      </c>
      <c r="S200" s="3"/>
      <c r="Z200" s="3"/>
      <c r="AA200" s="3"/>
    </row>
    <row r="201" spans="2:27" ht="15.75" customHeight="1">
      <c r="B201" s="16" t="s">
        <v>190</v>
      </c>
      <c r="C201" s="4" t="s">
        <v>307</v>
      </c>
      <c r="D201" s="3" t="s">
        <v>4673</v>
      </c>
      <c r="E201" s="16" t="s">
        <v>1320</v>
      </c>
      <c r="G201" s="10"/>
      <c r="H201" s="16" t="s">
        <v>1321</v>
      </c>
      <c r="J201" s="12"/>
      <c r="K201" s="16" t="s">
        <v>1322</v>
      </c>
      <c r="M201" s="3"/>
      <c r="N201" s="16" t="s">
        <v>1323</v>
      </c>
      <c r="P201" s="3"/>
      <c r="Q201" s="16" t="s">
        <v>1636</v>
      </c>
      <c r="S201" s="3"/>
      <c r="Z201" s="3"/>
      <c r="AA201" s="3"/>
    </row>
    <row r="202" spans="2:27" ht="15.75" customHeight="1">
      <c r="B202" s="16" t="s">
        <v>191</v>
      </c>
      <c r="D202" s="3" t="s">
        <v>317</v>
      </c>
      <c r="E202" s="16" t="s">
        <v>1324</v>
      </c>
      <c r="G202" s="10"/>
      <c r="H202" s="16" t="s">
        <v>1325</v>
      </c>
      <c r="J202" s="12"/>
      <c r="K202" s="16" t="s">
        <v>1326</v>
      </c>
      <c r="M202" s="3"/>
      <c r="N202" s="16" t="s">
        <v>1327</v>
      </c>
      <c r="P202" s="3"/>
      <c r="Q202" s="16" t="s">
        <v>1637</v>
      </c>
      <c r="S202" s="3"/>
      <c r="Z202" s="3"/>
      <c r="AA202" s="3"/>
    </row>
    <row r="203" spans="2:27" ht="15.75" customHeight="1">
      <c r="B203" s="16" t="s">
        <v>192</v>
      </c>
      <c r="D203" s="3" t="s">
        <v>4593</v>
      </c>
      <c r="E203" s="16" t="s">
        <v>1328</v>
      </c>
      <c r="G203" s="10"/>
      <c r="H203" s="16" t="s">
        <v>1329</v>
      </c>
      <c r="J203" s="12"/>
      <c r="K203" s="16" t="s">
        <v>1330</v>
      </c>
      <c r="M203" s="3"/>
      <c r="N203" s="16" t="s">
        <v>1331</v>
      </c>
      <c r="P203" s="3"/>
      <c r="Q203" s="16" t="s">
        <v>1638</v>
      </c>
      <c r="S203" s="3"/>
      <c r="Z203" s="3"/>
      <c r="AA203" s="3"/>
    </row>
    <row r="204" spans="2:27" ht="15.75" customHeight="1">
      <c r="B204" s="16" t="s">
        <v>193</v>
      </c>
      <c r="C204" s="4" t="s">
        <v>308</v>
      </c>
      <c r="D204" s="3" t="s">
        <v>4676</v>
      </c>
      <c r="E204" s="16" t="s">
        <v>1332</v>
      </c>
      <c r="G204" s="10"/>
      <c r="H204" s="16" t="s">
        <v>1333</v>
      </c>
      <c r="J204" s="12"/>
      <c r="K204" s="16" t="s">
        <v>1334</v>
      </c>
      <c r="M204" s="3"/>
      <c r="N204" s="16" t="s">
        <v>1335</v>
      </c>
      <c r="P204" s="3"/>
      <c r="Q204" s="16" t="s">
        <v>1639</v>
      </c>
      <c r="S204" s="3"/>
      <c r="Z204" s="3"/>
      <c r="AA204" s="3"/>
    </row>
    <row r="205" spans="2:27" ht="15.75" customHeight="1">
      <c r="B205" s="16" t="s">
        <v>194</v>
      </c>
      <c r="D205" s="3" t="s">
        <v>3841</v>
      </c>
      <c r="E205" s="16" t="s">
        <v>1336</v>
      </c>
      <c r="G205" s="10"/>
      <c r="H205" s="16" t="s">
        <v>1337</v>
      </c>
      <c r="J205" s="12"/>
      <c r="K205" s="16" t="s">
        <v>1338</v>
      </c>
      <c r="M205" s="3"/>
      <c r="N205" s="16" t="s">
        <v>1339</v>
      </c>
      <c r="P205" s="3"/>
      <c r="Q205" s="16" t="s">
        <v>1640</v>
      </c>
      <c r="S205" s="3"/>
      <c r="Z205" s="3"/>
      <c r="AA205" s="3"/>
    </row>
    <row r="206" spans="2:27" ht="15.75" customHeight="1">
      <c r="B206" s="16" t="s">
        <v>195</v>
      </c>
      <c r="D206" s="3" t="s">
        <v>4677</v>
      </c>
      <c r="E206" s="16" t="s">
        <v>1340</v>
      </c>
      <c r="G206" s="10"/>
      <c r="H206" s="16" t="s">
        <v>1341</v>
      </c>
      <c r="J206" s="12"/>
      <c r="K206" s="16" t="s">
        <v>1342</v>
      </c>
      <c r="M206" s="3"/>
      <c r="N206" s="16" t="s">
        <v>1343</v>
      </c>
      <c r="P206" s="3"/>
      <c r="Q206" s="16" t="s">
        <v>1641</v>
      </c>
      <c r="S206" s="3"/>
      <c r="Z206" s="3"/>
      <c r="AA206" s="3"/>
    </row>
    <row r="207" spans="2:27" ht="15.75" customHeight="1">
      <c r="B207" s="16" t="s">
        <v>196</v>
      </c>
      <c r="C207" s="4" t="s">
        <v>309</v>
      </c>
      <c r="D207" s="3" t="s">
        <v>3904</v>
      </c>
      <c r="E207" s="16" t="s">
        <v>1344</v>
      </c>
      <c r="G207" s="10"/>
      <c r="H207" s="16" t="s">
        <v>1345</v>
      </c>
      <c r="J207" s="12"/>
      <c r="K207" s="16" t="s">
        <v>1346</v>
      </c>
      <c r="M207" s="3"/>
      <c r="N207" s="16" t="s">
        <v>1347</v>
      </c>
      <c r="P207" s="3"/>
      <c r="Q207" s="16" t="s">
        <v>1642</v>
      </c>
      <c r="S207" s="3"/>
      <c r="Z207" s="3"/>
      <c r="AA207" s="3"/>
    </row>
    <row r="208" spans="2:27" ht="15.75" customHeight="1">
      <c r="B208" s="16" t="s">
        <v>197</v>
      </c>
      <c r="C208" s="4" t="s">
        <v>310</v>
      </c>
      <c r="D208" s="3" t="s">
        <v>4678</v>
      </c>
      <c r="E208" s="16" t="s">
        <v>1348</v>
      </c>
      <c r="G208" s="10"/>
      <c r="H208" s="16" t="s">
        <v>1349</v>
      </c>
      <c r="J208" s="12"/>
      <c r="K208" s="16" t="s">
        <v>1350</v>
      </c>
      <c r="M208" s="3"/>
      <c r="N208" s="16" t="s">
        <v>1351</v>
      </c>
      <c r="P208" s="3"/>
      <c r="Q208" s="16" t="s">
        <v>1643</v>
      </c>
      <c r="S208" s="3"/>
      <c r="Z208" s="3"/>
      <c r="AA208" s="3"/>
    </row>
    <row r="209" spans="2:27" ht="15.75" customHeight="1">
      <c r="B209" s="16" t="s">
        <v>198</v>
      </c>
      <c r="C209" s="4" t="s">
        <v>311</v>
      </c>
      <c r="D209" s="3" t="s">
        <v>3905</v>
      </c>
      <c r="E209" s="16" t="s">
        <v>1352</v>
      </c>
      <c r="G209" s="10"/>
      <c r="H209" s="16" t="s">
        <v>1353</v>
      </c>
      <c r="J209" s="12"/>
      <c r="K209" s="16" t="s">
        <v>1354</v>
      </c>
      <c r="M209" s="3"/>
      <c r="N209" s="16" t="s">
        <v>1355</v>
      </c>
      <c r="P209" s="3"/>
      <c r="Q209" s="16" t="s">
        <v>1644</v>
      </c>
      <c r="S209" s="3"/>
      <c r="Z209" s="3"/>
      <c r="AA209" s="3"/>
    </row>
    <row r="210" spans="2:27" ht="15.75" customHeight="1">
      <c r="B210" s="16" t="s">
        <v>199</v>
      </c>
      <c r="C210" s="4" t="s">
        <v>312</v>
      </c>
      <c r="D210" s="3" t="s">
        <v>3906</v>
      </c>
      <c r="E210" s="16" t="s">
        <v>1356</v>
      </c>
      <c r="G210" s="10"/>
      <c r="H210" s="16" t="s">
        <v>1357</v>
      </c>
      <c r="J210" s="12"/>
      <c r="K210" s="16" t="s">
        <v>1358</v>
      </c>
      <c r="M210" s="3"/>
      <c r="N210" s="16" t="s">
        <v>1359</v>
      </c>
      <c r="P210" s="3"/>
      <c r="Q210" s="16" t="s">
        <v>1645</v>
      </c>
      <c r="S210" s="3"/>
      <c r="Z210" s="3"/>
      <c r="AA210" s="3"/>
    </row>
    <row r="211" spans="2:27" ht="15.75" customHeight="1">
      <c r="B211" s="16" t="s">
        <v>200</v>
      </c>
      <c r="C211" s="4" t="s">
        <v>313</v>
      </c>
      <c r="D211" s="3" t="s">
        <v>4679</v>
      </c>
      <c r="E211" s="16" t="s">
        <v>1360</v>
      </c>
      <c r="G211" s="10"/>
      <c r="H211" s="16" t="s">
        <v>1361</v>
      </c>
      <c r="J211" s="12"/>
      <c r="K211" s="16" t="s">
        <v>1362</v>
      </c>
      <c r="M211" s="3"/>
      <c r="N211" s="16" t="s">
        <v>1363</v>
      </c>
      <c r="P211" s="3"/>
      <c r="Q211" s="16" t="s">
        <v>1646</v>
      </c>
      <c r="S211" s="3"/>
      <c r="Z211" s="3"/>
      <c r="AA211" s="3"/>
    </row>
    <row r="212" spans="2:27" ht="15.75" customHeight="1">
      <c r="B212" s="16" t="s">
        <v>201</v>
      </c>
      <c r="D212" s="3" t="s">
        <v>317</v>
      </c>
      <c r="E212" s="16" t="s">
        <v>1364</v>
      </c>
      <c r="G212" s="10"/>
      <c r="H212" s="16" t="s">
        <v>1365</v>
      </c>
      <c r="J212" s="12"/>
      <c r="K212" s="16" t="s">
        <v>1366</v>
      </c>
      <c r="M212" s="3"/>
      <c r="N212" s="16" t="s">
        <v>1367</v>
      </c>
      <c r="P212" s="3"/>
      <c r="Q212" s="16" t="s">
        <v>1647</v>
      </c>
      <c r="S212" s="3"/>
      <c r="Z212" s="3"/>
      <c r="AA212" s="3"/>
    </row>
    <row r="213" spans="2:27" ht="15.75" customHeight="1">
      <c r="B213" s="16" t="s">
        <v>202</v>
      </c>
      <c r="D213" s="3" t="s">
        <v>3841</v>
      </c>
      <c r="E213" s="16" t="s">
        <v>1368</v>
      </c>
      <c r="G213" s="10"/>
      <c r="H213" s="16" t="s">
        <v>1369</v>
      </c>
      <c r="J213" s="12"/>
      <c r="K213" s="16" t="s">
        <v>1370</v>
      </c>
      <c r="M213" s="3"/>
      <c r="N213" s="16" t="s">
        <v>1371</v>
      </c>
      <c r="P213" s="3"/>
      <c r="Q213" s="16" t="s">
        <v>1648</v>
      </c>
      <c r="S213" s="3"/>
      <c r="Z213" s="3"/>
      <c r="AA213" s="3"/>
    </row>
    <row r="214" spans="2:27" ht="15.75" customHeight="1">
      <c r="B214" s="16" t="s">
        <v>203</v>
      </c>
      <c r="D214" s="3" t="s">
        <v>4680</v>
      </c>
      <c r="E214" s="16" t="s">
        <v>1372</v>
      </c>
      <c r="G214" s="10"/>
      <c r="H214" s="16" t="s">
        <v>1373</v>
      </c>
      <c r="J214" s="12"/>
      <c r="K214" s="16" t="s">
        <v>1374</v>
      </c>
      <c r="M214" s="3"/>
      <c r="N214" s="16" t="s">
        <v>1375</v>
      </c>
      <c r="P214" s="3"/>
      <c r="Q214" s="16" t="s">
        <v>1649</v>
      </c>
      <c r="S214" s="3"/>
      <c r="Z214" s="3"/>
      <c r="AA214" s="3"/>
    </row>
    <row r="215" spans="2:27" ht="15.75" customHeight="1">
      <c r="B215" s="16" t="s">
        <v>204</v>
      </c>
      <c r="C215" s="4" t="s">
        <v>314</v>
      </c>
      <c r="D215" s="3" t="s">
        <v>1679</v>
      </c>
      <c r="E215" s="16" t="s">
        <v>1376</v>
      </c>
      <c r="G215" s="10"/>
      <c r="H215" s="16" t="s">
        <v>1377</v>
      </c>
      <c r="J215" s="12"/>
      <c r="K215" s="16" t="s">
        <v>1378</v>
      </c>
      <c r="M215" s="3"/>
      <c r="N215" s="16" t="s">
        <v>1379</v>
      </c>
      <c r="P215" s="3"/>
      <c r="Q215" s="16" t="s">
        <v>1650</v>
      </c>
      <c r="S215" s="3"/>
      <c r="Z215" s="3"/>
      <c r="AA215" s="3"/>
    </row>
    <row r="216" spans="2:27" ht="15.75" customHeight="1">
      <c r="B216" s="16" t="s">
        <v>205</v>
      </c>
      <c r="D216" s="3" t="s">
        <v>4681</v>
      </c>
      <c r="E216" s="16" t="s">
        <v>1380</v>
      </c>
      <c r="G216" s="10"/>
      <c r="H216" s="16" t="s">
        <v>1381</v>
      </c>
      <c r="J216" s="12"/>
      <c r="K216" s="16" t="s">
        <v>1382</v>
      </c>
      <c r="M216" s="3"/>
      <c r="N216" s="16" t="s">
        <v>1383</v>
      </c>
      <c r="P216" s="3"/>
      <c r="Q216" s="16" t="s">
        <v>1651</v>
      </c>
      <c r="S216" s="3"/>
      <c r="Z216" s="3"/>
      <c r="AA216" s="3"/>
    </row>
    <row r="217" spans="2:27" ht="15.75" customHeight="1">
      <c r="B217" s="16" t="s">
        <v>206</v>
      </c>
      <c r="C217" s="527" t="s">
        <v>2839</v>
      </c>
      <c r="D217" s="528" t="s">
        <v>4682</v>
      </c>
      <c r="E217" s="16" t="s">
        <v>1384</v>
      </c>
      <c r="G217" s="10"/>
      <c r="H217" s="16" t="s">
        <v>1385</v>
      </c>
      <c r="J217" s="12"/>
      <c r="K217" s="16" t="s">
        <v>1386</v>
      </c>
      <c r="M217" s="3"/>
      <c r="N217" s="16" t="s">
        <v>1387</v>
      </c>
      <c r="P217" s="3"/>
      <c r="Q217" s="16" t="s">
        <v>1652</v>
      </c>
      <c r="S217" s="3"/>
      <c r="Z217" s="3"/>
      <c r="AA217" s="3"/>
    </row>
    <row r="218" spans="2:27" ht="15.75" customHeight="1">
      <c r="B218" s="16" t="s">
        <v>207</v>
      </c>
      <c r="C218" s="527" t="s">
        <v>2838</v>
      </c>
      <c r="D218" s="528" t="s">
        <v>4683</v>
      </c>
      <c r="E218" s="16" t="s">
        <v>1388</v>
      </c>
      <c r="G218" s="10"/>
      <c r="H218" s="16" t="s">
        <v>1389</v>
      </c>
      <c r="J218" s="12"/>
      <c r="K218" s="16" t="s">
        <v>1390</v>
      </c>
      <c r="M218" s="3"/>
      <c r="N218" s="16" t="s">
        <v>1391</v>
      </c>
      <c r="P218" s="3"/>
      <c r="Q218" s="16" t="s">
        <v>1653</v>
      </c>
      <c r="S218" s="3"/>
      <c r="Z218" s="3"/>
      <c r="AA218" s="3"/>
    </row>
    <row r="219" spans="2:27" ht="15.75" customHeight="1">
      <c r="B219" s="16" t="s">
        <v>208</v>
      </c>
      <c r="C219" s="527" t="s">
        <v>2837</v>
      </c>
      <c r="D219" s="528" t="s">
        <v>4684</v>
      </c>
      <c r="E219" s="16" t="s">
        <v>1392</v>
      </c>
      <c r="G219" s="10"/>
      <c r="H219" s="16" t="s">
        <v>1393</v>
      </c>
      <c r="J219" s="12"/>
      <c r="K219" s="16" t="s">
        <v>1394</v>
      </c>
      <c r="M219" s="3"/>
      <c r="N219" s="16" t="s">
        <v>1395</v>
      </c>
      <c r="P219" s="3"/>
      <c r="Q219" s="16" t="s">
        <v>1654</v>
      </c>
      <c r="S219" s="3"/>
      <c r="Z219" s="3"/>
      <c r="AA219" s="3"/>
    </row>
    <row r="220" spans="2:27" ht="15.75" customHeight="1">
      <c r="B220" s="16" t="s">
        <v>209</v>
      </c>
      <c r="C220" s="527" t="s">
        <v>315</v>
      </c>
      <c r="D220" s="528" t="s">
        <v>4685</v>
      </c>
      <c r="E220" s="16" t="s">
        <v>1396</v>
      </c>
      <c r="G220" s="10"/>
      <c r="H220" s="16" t="s">
        <v>1397</v>
      </c>
      <c r="J220" s="12"/>
      <c r="K220" s="16" t="s">
        <v>1398</v>
      </c>
      <c r="M220" s="3"/>
      <c r="N220" s="16" t="s">
        <v>1399</v>
      </c>
      <c r="P220" s="3"/>
      <c r="Q220" s="16" t="s">
        <v>1655</v>
      </c>
      <c r="S220" s="3"/>
      <c r="Z220" s="3"/>
      <c r="AA220" s="3"/>
    </row>
    <row r="221" spans="2:27" ht="15.75" customHeight="1">
      <c r="B221" s="16" t="s">
        <v>210</v>
      </c>
      <c r="C221" s="527" t="s">
        <v>316</v>
      </c>
      <c r="D221" s="528" t="s">
        <v>4686</v>
      </c>
      <c r="E221" s="16" t="s">
        <v>1400</v>
      </c>
      <c r="G221" s="10"/>
      <c r="H221" s="16" t="s">
        <v>1401</v>
      </c>
      <c r="J221" s="12"/>
      <c r="K221" s="16" t="s">
        <v>1402</v>
      </c>
      <c r="M221" s="3"/>
      <c r="N221" s="16" t="s">
        <v>1403</v>
      </c>
      <c r="P221" s="3"/>
      <c r="Q221" s="16" t="s">
        <v>1656</v>
      </c>
      <c r="S221" s="3"/>
      <c r="Z221" s="3"/>
      <c r="AA221" s="3"/>
    </row>
    <row r="222" spans="2:27" ht="15.75" customHeight="1">
      <c r="B222" s="16" t="s">
        <v>211</v>
      </c>
      <c r="D222" s="3" t="s">
        <v>4618</v>
      </c>
      <c r="E222" s="16" t="s">
        <v>1404</v>
      </c>
      <c r="G222" s="10"/>
      <c r="H222" s="16" t="s">
        <v>1405</v>
      </c>
      <c r="J222" s="12">
        <v>45642.802175925928</v>
      </c>
      <c r="K222" s="16" t="s">
        <v>1406</v>
      </c>
      <c r="M222" s="3" t="s">
        <v>317</v>
      </c>
      <c r="N222" s="16" t="s">
        <v>1407</v>
      </c>
      <c r="P222" s="3" t="b">
        <v>1</v>
      </c>
      <c r="Q222" s="16" t="s">
        <v>1657</v>
      </c>
      <c r="S222" s="3"/>
      <c r="Z222" s="3"/>
      <c r="AA222" s="3"/>
    </row>
    <row r="223" spans="2:27" ht="15.75" customHeight="1">
      <c r="B223" s="16" t="s">
        <v>212</v>
      </c>
      <c r="D223" s="3" t="s">
        <v>4624</v>
      </c>
      <c r="E223" s="16" t="s">
        <v>1408</v>
      </c>
      <c r="G223" s="10"/>
      <c r="H223" s="16" t="s">
        <v>1409</v>
      </c>
      <c r="J223" s="12">
        <v>45648.497303240743</v>
      </c>
      <c r="K223" s="16" t="s">
        <v>1410</v>
      </c>
      <c r="M223" s="2" t="s">
        <v>4706</v>
      </c>
      <c r="N223" s="16" t="s">
        <v>1411</v>
      </c>
      <c r="P223" s="3" t="b">
        <v>1</v>
      </c>
      <c r="Q223" s="16" t="s">
        <v>1658</v>
      </c>
      <c r="S223" s="3"/>
      <c r="Z223" s="3"/>
      <c r="AA223" s="3"/>
    </row>
    <row r="224" spans="2:27" ht="15.75" customHeight="1">
      <c r="B224" s="16" t="s">
        <v>213</v>
      </c>
      <c r="D224" s="3" t="s">
        <v>4592</v>
      </c>
      <c r="E224" s="16" t="s">
        <v>1412</v>
      </c>
      <c r="G224" s="10"/>
      <c r="H224" s="16" t="s">
        <v>1413</v>
      </c>
      <c r="J224" s="12">
        <v>45644.902696759258</v>
      </c>
      <c r="K224" s="16" t="s">
        <v>1414</v>
      </c>
      <c r="M224" s="2" t="s">
        <v>4707</v>
      </c>
      <c r="N224" s="16" t="s">
        <v>1415</v>
      </c>
      <c r="P224" s="3" t="b">
        <v>1</v>
      </c>
      <c r="Q224" s="16" t="s">
        <v>1659</v>
      </c>
      <c r="S224" s="3"/>
      <c r="Z224" s="3"/>
      <c r="AA224" s="3"/>
    </row>
    <row r="225" spans="2:27" ht="15.75" customHeight="1">
      <c r="B225" s="16" t="s">
        <v>214</v>
      </c>
      <c r="D225" s="3" t="s">
        <v>317</v>
      </c>
      <c r="E225" s="16" t="s">
        <v>1416</v>
      </c>
      <c r="G225" s="10"/>
      <c r="H225" s="16" t="s">
        <v>1417</v>
      </c>
      <c r="J225" s="12"/>
      <c r="K225" s="16" t="s">
        <v>1418</v>
      </c>
      <c r="M225" s="2" t="s">
        <v>317</v>
      </c>
      <c r="N225" s="16" t="s">
        <v>1419</v>
      </c>
      <c r="P225" s="3" t="b">
        <v>0</v>
      </c>
      <c r="Q225" s="16" t="s">
        <v>1660</v>
      </c>
      <c r="S225" s="3"/>
      <c r="Z225" s="3"/>
      <c r="AA225" s="3"/>
    </row>
    <row r="226" spans="2:27" ht="15.75" customHeight="1">
      <c r="B226" s="16" t="s">
        <v>215</v>
      </c>
      <c r="D226" s="3" t="s">
        <v>317</v>
      </c>
      <c r="E226" s="16" t="s">
        <v>1420</v>
      </c>
      <c r="G226" s="10"/>
      <c r="H226" s="16" t="s">
        <v>1421</v>
      </c>
      <c r="J226" s="12"/>
      <c r="K226" s="16" t="s">
        <v>1422</v>
      </c>
      <c r="M226" s="3"/>
      <c r="N226" s="16" t="s">
        <v>1423</v>
      </c>
      <c r="P226" s="3"/>
      <c r="Q226" s="16" t="s">
        <v>1661</v>
      </c>
      <c r="S226" s="3"/>
      <c r="Z226" s="3"/>
      <c r="AA226" s="3"/>
    </row>
    <row r="227" spans="2:27" ht="15.75" customHeight="1">
      <c r="B227" s="16" t="s">
        <v>216</v>
      </c>
      <c r="C227" s="18" t="s">
        <v>1690</v>
      </c>
      <c r="D227" s="17" t="s">
        <v>4605</v>
      </c>
      <c r="E227" s="16" t="s">
        <v>1424</v>
      </c>
      <c r="G227" s="10"/>
      <c r="H227" s="16" t="s">
        <v>1425</v>
      </c>
      <c r="J227" s="12"/>
      <c r="K227" s="16" t="s">
        <v>1426</v>
      </c>
      <c r="M227" s="3"/>
      <c r="N227" s="16" t="s">
        <v>1427</v>
      </c>
      <c r="P227" s="3"/>
      <c r="Q227" s="16" t="s">
        <v>1662</v>
      </c>
      <c r="S227" s="3"/>
      <c r="Z227" s="3"/>
      <c r="AA227" s="3"/>
    </row>
  </sheetData>
  <phoneticPr fontId="1"/>
  <pageMargins left="0.7" right="0.7" top="0.75" bottom="0.75" header="0.3" footer="0.3"/>
  <pageSetup paperSize="9" orientation="portrait" r:id="rId1"/>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2F1C625-12E5-4293-BF80-BC8763D832D5}">
  <sheetPr codeName="Sheet11">
    <tabColor theme="1"/>
  </sheetPr>
  <dimension ref="A1:T29"/>
  <sheetViews>
    <sheetView workbookViewId="0">
      <selection activeCell="G7" sqref="G7"/>
    </sheetView>
  </sheetViews>
  <sheetFormatPr defaultColWidth="16.125" defaultRowHeight="14.25"/>
  <cols>
    <col min="1" max="1" width="16.125" style="5"/>
    <col min="2" max="2" width="16.125" style="7"/>
    <col min="3" max="3" width="25.25" style="5" customWidth="1"/>
    <col min="4" max="4" width="18.375" style="7" customWidth="1"/>
    <col min="5" max="5" width="30.125" style="5" customWidth="1"/>
    <col min="6" max="6" width="16.125" style="7"/>
    <col min="7" max="7" width="16.125" style="5"/>
    <col min="8" max="8" width="16.125" style="7"/>
    <col min="9" max="9" width="16.125" style="5"/>
    <col min="10" max="10" width="16.125" style="7"/>
    <col min="11" max="16384" width="16.125" style="5"/>
  </cols>
  <sheetData>
    <row r="1" spans="1:20">
      <c r="A1" s="5">
        <f>COLUMN()</f>
        <v>1</v>
      </c>
      <c r="B1" s="7">
        <f>COLUMN()</f>
        <v>2</v>
      </c>
      <c r="C1" s="5">
        <f>COLUMN()</f>
        <v>3</v>
      </c>
      <c r="D1" s="7">
        <f>COLUMN()</f>
        <v>4</v>
      </c>
      <c r="E1" s="5">
        <f>COLUMN()</f>
        <v>5</v>
      </c>
      <c r="F1" s="7">
        <f>COLUMN()</f>
        <v>6</v>
      </c>
      <c r="G1" s="5">
        <f>COLUMN()</f>
        <v>7</v>
      </c>
      <c r="H1" s="7">
        <f>COLUMN()</f>
        <v>8</v>
      </c>
      <c r="I1" s="5">
        <f>COLUMN()</f>
        <v>9</v>
      </c>
      <c r="J1" s="7">
        <f>COLUMN()</f>
        <v>10</v>
      </c>
      <c r="K1" s="5">
        <f>COLUMN()</f>
        <v>11</v>
      </c>
      <c r="L1" s="5">
        <f>COLUMN()</f>
        <v>12</v>
      </c>
      <c r="M1" s="5">
        <f>COLUMN()</f>
        <v>13</v>
      </c>
      <c r="N1" s="5">
        <f>COLUMN()</f>
        <v>14</v>
      </c>
      <c r="O1" s="5">
        <f>COLUMN()</f>
        <v>15</v>
      </c>
      <c r="P1" s="5">
        <f>COLUMN()</f>
        <v>16</v>
      </c>
    </row>
    <row r="2" spans="1:20">
      <c r="B2" s="7" t="s">
        <v>3040</v>
      </c>
      <c r="D2" s="7" t="s">
        <v>3041</v>
      </c>
      <c r="F2" s="7" t="s">
        <v>3042</v>
      </c>
      <c r="H2" s="7" t="s">
        <v>1432</v>
      </c>
      <c r="J2" s="7" t="s">
        <v>1434</v>
      </c>
      <c r="N2" s="5" t="s">
        <v>3066</v>
      </c>
    </row>
    <row r="3" spans="1:20">
      <c r="B3" s="7" t="s">
        <v>3833</v>
      </c>
      <c r="C3" s="5">
        <v>96235</v>
      </c>
      <c r="D3" s="7" t="s">
        <v>3833</v>
      </c>
      <c r="E3" s="5">
        <v>109029</v>
      </c>
      <c r="F3" s="7" t="s">
        <v>3833</v>
      </c>
      <c r="G3" s="5">
        <v>96243</v>
      </c>
      <c r="H3" s="7" t="s">
        <v>3833</v>
      </c>
      <c r="I3" s="5">
        <v>109100</v>
      </c>
      <c r="J3" s="7" t="s">
        <v>3833</v>
      </c>
      <c r="K3" s="5">
        <v>109109</v>
      </c>
      <c r="N3" s="13" t="s">
        <v>2972</v>
      </c>
      <c r="O3" s="13" t="s">
        <v>3812</v>
      </c>
      <c r="P3" s="10">
        <v>500000</v>
      </c>
      <c r="Q3" s="13" t="s">
        <v>5208</v>
      </c>
      <c r="R3" s="100"/>
      <c r="S3" s="13" t="s">
        <v>5209</v>
      </c>
      <c r="T3" s="10">
        <v>1000000</v>
      </c>
    </row>
    <row r="4" spans="1:20">
      <c r="B4" s="7" t="s">
        <v>3766</v>
      </c>
      <c r="C4" s="5" t="s">
        <v>5194</v>
      </c>
      <c r="D4" s="7" t="s">
        <v>3766</v>
      </c>
      <c r="E4" s="5" t="s">
        <v>5195</v>
      </c>
      <c r="F4" s="7" t="s">
        <v>3766</v>
      </c>
      <c r="G4" s="5" t="s">
        <v>5202</v>
      </c>
      <c r="H4" s="7" t="s">
        <v>3766</v>
      </c>
      <c r="I4" s="5" t="s">
        <v>5205</v>
      </c>
      <c r="J4" s="7" t="s">
        <v>3766</v>
      </c>
      <c r="K4" s="5" t="s">
        <v>3909</v>
      </c>
      <c r="N4" s="13"/>
      <c r="O4" s="13" t="s">
        <v>5207</v>
      </c>
      <c r="P4" s="10">
        <v>500000</v>
      </c>
      <c r="Q4" s="13" t="s">
        <v>5210</v>
      </c>
      <c r="R4" s="100"/>
      <c r="S4" s="13" t="s">
        <v>5211</v>
      </c>
      <c r="T4" s="10"/>
    </row>
    <row r="5" spans="1:20">
      <c r="B5" s="7" t="s">
        <v>3767</v>
      </c>
      <c r="C5" s="5">
        <v>96238</v>
      </c>
      <c r="D5" s="7" t="s">
        <v>3767</v>
      </c>
      <c r="E5" s="5">
        <v>109030</v>
      </c>
      <c r="F5" s="7" t="s">
        <v>3767</v>
      </c>
      <c r="G5" s="5">
        <v>109075</v>
      </c>
      <c r="H5" s="7" t="s">
        <v>3767</v>
      </c>
      <c r="I5" s="5">
        <v>109103</v>
      </c>
      <c r="J5" s="7" t="s">
        <v>3767</v>
      </c>
      <c r="K5" s="5">
        <v>109123</v>
      </c>
      <c r="N5" s="13" t="s">
        <v>3813</v>
      </c>
      <c r="O5" s="13" t="s">
        <v>4602</v>
      </c>
      <c r="P5" s="10">
        <v>13000000</v>
      </c>
      <c r="Q5" s="13" t="s">
        <v>3910</v>
      </c>
      <c r="R5" s="100"/>
      <c r="S5" s="13" t="s">
        <v>3950</v>
      </c>
      <c r="T5" s="10">
        <v>13000000</v>
      </c>
    </row>
    <row r="6" spans="1:20">
      <c r="B6" s="7" t="s">
        <v>3834</v>
      </c>
      <c r="C6" s="5">
        <v>3</v>
      </c>
      <c r="D6" s="7" t="s">
        <v>3834</v>
      </c>
      <c r="E6" s="5">
        <v>1</v>
      </c>
      <c r="F6" s="7" t="s">
        <v>3834</v>
      </c>
      <c r="G6" s="5">
        <v>4</v>
      </c>
      <c r="H6" s="7" t="s">
        <v>3834</v>
      </c>
      <c r="I6" s="5">
        <v>1</v>
      </c>
      <c r="J6" s="7" t="s">
        <v>3834</v>
      </c>
      <c r="K6" s="5">
        <v>1</v>
      </c>
      <c r="N6" s="13"/>
      <c r="O6" s="13"/>
      <c r="P6" s="10">
        <v>0</v>
      </c>
      <c r="Q6" s="13"/>
      <c r="R6" s="100"/>
      <c r="S6" s="13"/>
      <c r="T6" s="10"/>
    </row>
    <row r="7" spans="1:20">
      <c r="B7" s="7" t="s">
        <v>3842</v>
      </c>
      <c r="C7" s="5" t="s">
        <v>4600</v>
      </c>
      <c r="D7" s="7" t="s">
        <v>3842</v>
      </c>
      <c r="E7" s="5" t="s">
        <v>5196</v>
      </c>
      <c r="F7" s="7" t="s">
        <v>3842</v>
      </c>
      <c r="G7" s="5" t="s">
        <v>5203</v>
      </c>
      <c r="H7" s="7" t="s">
        <v>3842</v>
      </c>
      <c r="I7" s="5" t="s">
        <v>1768</v>
      </c>
      <c r="J7" s="7" t="s">
        <v>3768</v>
      </c>
      <c r="N7" s="13" t="s">
        <v>2974</v>
      </c>
      <c r="O7" s="13" t="s">
        <v>4602</v>
      </c>
      <c r="P7" s="10">
        <v>13000000</v>
      </c>
      <c r="Q7" s="13" t="s">
        <v>3911</v>
      </c>
      <c r="R7" s="100"/>
      <c r="S7" s="13" t="s">
        <v>3950</v>
      </c>
      <c r="T7" s="10">
        <v>13000000</v>
      </c>
    </row>
    <row r="8" spans="1:20">
      <c r="B8" s="7" t="s">
        <v>3768</v>
      </c>
      <c r="D8" s="7" t="s">
        <v>3768</v>
      </c>
      <c r="F8" s="7" t="s">
        <v>3768</v>
      </c>
      <c r="H8" s="7" t="s">
        <v>3768</v>
      </c>
      <c r="J8" s="7" t="s">
        <v>3769</v>
      </c>
      <c r="K8" s="5">
        <v>100</v>
      </c>
      <c r="N8" s="13"/>
      <c r="O8" s="13"/>
      <c r="P8" s="10">
        <v>0</v>
      </c>
      <c r="Q8" s="13"/>
      <c r="R8" s="100"/>
      <c r="S8" s="13"/>
      <c r="T8" s="10"/>
    </row>
    <row r="9" spans="1:20">
      <c r="B9" s="7" t="s">
        <v>3769</v>
      </c>
      <c r="C9" s="5">
        <v>100</v>
      </c>
      <c r="D9" s="7" t="s">
        <v>3769</v>
      </c>
      <c r="E9" s="5">
        <v>100</v>
      </c>
      <c r="F9" s="7" t="s">
        <v>3769</v>
      </c>
      <c r="G9" s="5">
        <v>100</v>
      </c>
      <c r="H9" s="7" t="s">
        <v>3769</v>
      </c>
      <c r="I9" s="5">
        <v>100</v>
      </c>
      <c r="J9" s="7" t="s">
        <v>3835</v>
      </c>
      <c r="K9" s="5">
        <v>460</v>
      </c>
      <c r="N9" s="13" t="s">
        <v>2975</v>
      </c>
      <c r="O9" s="13" t="s">
        <v>4602</v>
      </c>
      <c r="P9" s="10">
        <v>10000000</v>
      </c>
      <c r="Q9" s="13" t="s">
        <v>3912</v>
      </c>
      <c r="R9" s="100"/>
      <c r="S9" s="13" t="s">
        <v>3950</v>
      </c>
      <c r="T9" s="10">
        <v>12732317</v>
      </c>
    </row>
    <row r="10" spans="1:20">
      <c r="B10" s="7" t="s">
        <v>3835</v>
      </c>
      <c r="C10" s="5">
        <v>460</v>
      </c>
      <c r="D10" s="7" t="s">
        <v>3835</v>
      </c>
      <c r="E10" s="5">
        <v>460</v>
      </c>
      <c r="F10" s="7" t="s">
        <v>3835</v>
      </c>
      <c r="G10" s="5">
        <v>460</v>
      </c>
      <c r="H10" s="7" t="s">
        <v>3835</v>
      </c>
      <c r="I10" s="5">
        <v>460</v>
      </c>
      <c r="J10" s="7" t="s">
        <v>3770</v>
      </c>
      <c r="K10" s="5">
        <v>460</v>
      </c>
      <c r="N10" s="13"/>
      <c r="O10" s="13" t="s">
        <v>5207</v>
      </c>
      <c r="P10" s="10">
        <v>2732317</v>
      </c>
      <c r="Q10" s="13" t="s">
        <v>5212</v>
      </c>
      <c r="R10" s="100"/>
      <c r="S10" s="13" t="s">
        <v>5211</v>
      </c>
      <c r="T10" s="10"/>
    </row>
    <row r="11" spans="1:20">
      <c r="B11" s="7" t="s">
        <v>3770</v>
      </c>
      <c r="C11" s="5">
        <v>460</v>
      </c>
      <c r="D11" s="7" t="s">
        <v>3770</v>
      </c>
      <c r="E11" s="5">
        <v>460</v>
      </c>
      <c r="F11" s="7" t="s">
        <v>3770</v>
      </c>
      <c r="G11" s="5">
        <v>460</v>
      </c>
      <c r="H11" s="7" t="s">
        <v>3770</v>
      </c>
      <c r="I11" s="5">
        <v>460</v>
      </c>
      <c r="J11" s="7" t="s">
        <v>3836</v>
      </c>
      <c r="K11" s="5" t="b">
        <v>0</v>
      </c>
    </row>
    <row r="12" spans="1:20">
      <c r="B12" s="7" t="s">
        <v>3836</v>
      </c>
      <c r="C12" s="5" t="b">
        <v>0</v>
      </c>
      <c r="D12" s="7" t="s">
        <v>3836</v>
      </c>
      <c r="E12" s="5" t="b">
        <v>0</v>
      </c>
      <c r="F12" s="7" t="s">
        <v>3836</v>
      </c>
      <c r="G12" s="5" t="b">
        <v>0</v>
      </c>
      <c r="H12" s="7" t="s">
        <v>3836</v>
      </c>
      <c r="I12" s="5" t="b">
        <v>0</v>
      </c>
      <c r="J12" s="7" t="s">
        <v>3837</v>
      </c>
      <c r="K12" s="5" t="s">
        <v>3841</v>
      </c>
    </row>
    <row r="13" spans="1:20">
      <c r="B13" s="7" t="s">
        <v>3837</v>
      </c>
      <c r="C13" s="5" t="s">
        <v>3841</v>
      </c>
      <c r="D13" s="7" t="s">
        <v>3837</v>
      </c>
      <c r="E13" s="5" t="s">
        <v>3841</v>
      </c>
      <c r="F13" s="7" t="s">
        <v>3837</v>
      </c>
      <c r="G13" s="5" t="s">
        <v>3841</v>
      </c>
      <c r="H13" s="7" t="s">
        <v>3837</v>
      </c>
      <c r="I13" s="5" t="s">
        <v>3841</v>
      </c>
      <c r="J13" s="7" t="s">
        <v>3838</v>
      </c>
      <c r="K13" s="5">
        <v>460</v>
      </c>
    </row>
    <row r="14" spans="1:20">
      <c r="B14" s="7" t="s">
        <v>3838</v>
      </c>
      <c r="C14" s="5">
        <v>460</v>
      </c>
      <c r="D14" s="7" t="s">
        <v>3838</v>
      </c>
      <c r="E14" s="5">
        <v>460</v>
      </c>
      <c r="F14" s="7" t="s">
        <v>3838</v>
      </c>
      <c r="G14" s="5">
        <v>460</v>
      </c>
      <c r="H14" s="7" t="s">
        <v>3838</v>
      </c>
      <c r="I14" s="5">
        <v>460</v>
      </c>
      <c r="J14" s="7" t="s">
        <v>3771</v>
      </c>
      <c r="K14" s="5">
        <v>460</v>
      </c>
    </row>
    <row r="15" spans="1:20">
      <c r="B15" s="7" t="s">
        <v>3771</v>
      </c>
      <c r="C15" s="5">
        <v>460</v>
      </c>
      <c r="D15" s="7" t="s">
        <v>3771</v>
      </c>
      <c r="E15" s="5">
        <v>460</v>
      </c>
      <c r="F15" s="7" t="s">
        <v>3771</v>
      </c>
      <c r="G15" s="5">
        <v>460</v>
      </c>
      <c r="H15" s="7" t="s">
        <v>3771</v>
      </c>
      <c r="I15" s="5">
        <v>460</v>
      </c>
      <c r="J15" s="7" t="s">
        <v>3839</v>
      </c>
      <c r="K15" s="5" t="s">
        <v>3909</v>
      </c>
    </row>
    <row r="16" spans="1:20">
      <c r="B16" s="7" t="s">
        <v>3839</v>
      </c>
      <c r="C16" s="5" t="s">
        <v>4601</v>
      </c>
      <c r="D16" s="7" t="s">
        <v>3839</v>
      </c>
      <c r="E16" s="5" t="s">
        <v>5197</v>
      </c>
      <c r="F16" s="7" t="s">
        <v>3839</v>
      </c>
      <c r="G16" s="5" t="s">
        <v>5204</v>
      </c>
      <c r="H16" s="7" t="s">
        <v>3839</v>
      </c>
      <c r="I16" s="5" t="s">
        <v>5205</v>
      </c>
      <c r="J16" s="7" t="s">
        <v>3772</v>
      </c>
      <c r="K16" s="5" t="s">
        <v>5206</v>
      </c>
    </row>
    <row r="17" spans="2:11">
      <c r="B17" s="7" t="s">
        <v>3772</v>
      </c>
      <c r="C17" s="5" t="s">
        <v>4600</v>
      </c>
      <c r="D17" s="7" t="s">
        <v>3772</v>
      </c>
      <c r="E17" s="5" t="s">
        <v>5196</v>
      </c>
      <c r="F17" s="7" t="s">
        <v>3772</v>
      </c>
      <c r="G17" s="5" t="s">
        <v>5203</v>
      </c>
      <c r="H17" s="7" t="s">
        <v>3772</v>
      </c>
      <c r="I17" s="5" t="s">
        <v>1768</v>
      </c>
      <c r="J17" s="7" t="s">
        <v>3840</v>
      </c>
      <c r="K17" s="5">
        <v>1.1000000000000001</v>
      </c>
    </row>
    <row r="18" spans="2:11">
      <c r="B18" s="7" t="s">
        <v>3840</v>
      </c>
      <c r="C18" s="5">
        <v>1.1000000000000001</v>
      </c>
      <c r="D18" s="7" t="s">
        <v>3840</v>
      </c>
      <c r="E18" s="5">
        <v>1.1000000000000001</v>
      </c>
      <c r="F18" s="7" t="s">
        <v>3840</v>
      </c>
      <c r="G18" s="5">
        <v>1.1000000000000001</v>
      </c>
      <c r="H18" s="7" t="s">
        <v>3840</v>
      </c>
      <c r="I18" s="5">
        <v>1.1000000000000001</v>
      </c>
      <c r="J18" s="7" t="s">
        <v>3774</v>
      </c>
      <c r="K18" s="5">
        <v>109103</v>
      </c>
    </row>
    <row r="19" spans="2:11">
      <c r="B19" s="7" t="s">
        <v>3774</v>
      </c>
      <c r="C19" s="5" t="s">
        <v>3843</v>
      </c>
      <c r="D19" s="7" t="s">
        <v>3774</v>
      </c>
      <c r="E19" s="5" t="s">
        <v>3843</v>
      </c>
      <c r="F19" s="7" t="s">
        <v>3774</v>
      </c>
      <c r="G19" s="5" t="s">
        <v>1737</v>
      </c>
      <c r="J19" s="7" t="s">
        <v>2</v>
      </c>
      <c r="K19" s="5" t="s">
        <v>5206</v>
      </c>
    </row>
    <row r="20" spans="2:11">
      <c r="B20" s="7" t="s">
        <v>2</v>
      </c>
      <c r="C20" s="5" t="s">
        <v>3844</v>
      </c>
      <c r="D20" s="7" t="s">
        <v>2</v>
      </c>
      <c r="E20" s="5" t="s">
        <v>5198</v>
      </c>
      <c r="F20" s="7" t="s">
        <v>2</v>
      </c>
      <c r="G20" s="5" t="s">
        <v>1798</v>
      </c>
    </row>
    <row r="21" spans="2:11">
      <c r="B21" s="7" t="s">
        <v>3828</v>
      </c>
      <c r="C21" s="5" t="s">
        <v>3845</v>
      </c>
      <c r="D21" s="7" t="s">
        <v>3828</v>
      </c>
      <c r="E21" s="5" t="s">
        <v>5199</v>
      </c>
      <c r="F21" s="7" t="s">
        <v>3828</v>
      </c>
      <c r="G21" s="5" t="s">
        <v>1799</v>
      </c>
    </row>
    <row r="22" spans="2:11">
      <c r="B22" s="7" t="s">
        <v>3</v>
      </c>
      <c r="C22" s="5" t="s">
        <v>3846</v>
      </c>
      <c r="D22" s="7" t="s">
        <v>3</v>
      </c>
      <c r="E22" s="5" t="s">
        <v>5200</v>
      </c>
      <c r="F22" s="7" t="s">
        <v>3</v>
      </c>
      <c r="G22" s="5" t="s">
        <v>1800</v>
      </c>
    </row>
    <row r="23" spans="2:11">
      <c r="B23" s="7" t="s">
        <v>4</v>
      </c>
      <c r="D23" s="7" t="s">
        <v>4</v>
      </c>
      <c r="E23" s="5" t="s">
        <v>5201</v>
      </c>
      <c r="F23" s="7" t="s">
        <v>4</v>
      </c>
      <c r="G23" s="5" t="s">
        <v>1739</v>
      </c>
    </row>
    <row r="24" spans="2:11">
      <c r="B24" s="7" t="s">
        <v>3847</v>
      </c>
      <c r="C24" s="5" t="s">
        <v>4589</v>
      </c>
      <c r="F24" s="7" t="s">
        <v>3847</v>
      </c>
      <c r="G24" s="5" t="s">
        <v>1801</v>
      </c>
    </row>
    <row r="25" spans="2:11">
      <c r="B25" s="7" t="s">
        <v>3829</v>
      </c>
      <c r="C25" s="5" t="s">
        <v>3752</v>
      </c>
      <c r="F25" s="7" t="s">
        <v>3829</v>
      </c>
      <c r="G25" s="5" t="s">
        <v>1704</v>
      </c>
    </row>
    <row r="26" spans="2:11">
      <c r="B26" s="7" t="s">
        <v>5</v>
      </c>
      <c r="C26" s="5" t="s">
        <v>3848</v>
      </c>
      <c r="F26" s="7" t="s">
        <v>5</v>
      </c>
      <c r="G26" s="5" t="s">
        <v>1680</v>
      </c>
    </row>
    <row r="27" spans="2:11">
      <c r="B27" s="7" t="s">
        <v>6</v>
      </c>
      <c r="C27" s="5">
        <v>158579</v>
      </c>
      <c r="F27" s="7" t="s">
        <v>8</v>
      </c>
      <c r="G27" s="5">
        <v>725</v>
      </c>
    </row>
    <row r="28" spans="2:11">
      <c r="B28" s="7" t="s">
        <v>7</v>
      </c>
      <c r="C28" s="5" t="s">
        <v>3849</v>
      </c>
      <c r="F28" s="7" t="s">
        <v>6</v>
      </c>
      <c r="G28" s="5">
        <v>210700</v>
      </c>
    </row>
    <row r="29" spans="2:11">
      <c r="B29" s="7" t="s">
        <v>8</v>
      </c>
      <c r="F29" s="7" t="s">
        <v>13</v>
      </c>
      <c r="G29" s="5" t="s">
        <v>1707</v>
      </c>
    </row>
  </sheetData>
  <phoneticPr fontId="1"/>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9A9253-EC6A-4A86-8874-ED1AFD4FBFC3}">
  <sheetPr codeName="Sheet10">
    <tabColor rgb="FFFF0000"/>
    <pageSetUpPr fitToPage="1"/>
  </sheetPr>
  <dimension ref="B1:YT55"/>
  <sheetViews>
    <sheetView view="pageBreakPreview" zoomScale="85" zoomScaleNormal="100" zoomScaleSheetLayoutView="85" workbookViewId="0">
      <selection activeCell="Y45" sqref="Y45"/>
    </sheetView>
  </sheetViews>
  <sheetFormatPr defaultColWidth="6.625" defaultRowHeight="21"/>
  <cols>
    <col min="1" max="1" width="1.625" style="89" customWidth="1"/>
    <col min="2" max="16" width="7.625" style="89" customWidth="1"/>
    <col min="17" max="17" width="3.5" style="89" customWidth="1"/>
    <col min="18" max="18" width="3.5" style="96" customWidth="1"/>
    <col min="19" max="19" width="3.5" style="89" customWidth="1"/>
    <col min="20" max="37" width="7.125" style="89" customWidth="1"/>
    <col min="38" max="669" width="6.625" style="89"/>
    <col min="670" max="670" width="6.625" style="91"/>
    <col min="671" max="16384" width="6.625" style="89"/>
  </cols>
  <sheetData>
    <row r="1" spans="2:37" ht="6.75" customHeight="1"/>
    <row r="2" spans="2:37">
      <c r="B2" s="564" t="s">
        <v>3630</v>
      </c>
      <c r="C2" s="564"/>
      <c r="D2" s="564"/>
      <c r="E2" s="564"/>
      <c r="F2" s="564"/>
      <c r="G2" s="564"/>
      <c r="H2" s="564"/>
      <c r="I2" s="564"/>
      <c r="J2" s="564"/>
      <c r="K2" s="564"/>
      <c r="L2" s="666" t="s">
        <v>2855</v>
      </c>
      <c r="M2" s="666"/>
      <c r="N2" s="667">
        <f>作成日</f>
        <v>45840</v>
      </c>
      <c r="O2" s="667"/>
      <c r="P2" s="667"/>
      <c r="T2" s="586" t="s">
        <v>2978</v>
      </c>
      <c r="U2" s="586"/>
      <c r="V2" s="586"/>
    </row>
    <row r="3" spans="2:37">
      <c r="B3" s="564"/>
      <c r="C3" s="564"/>
      <c r="D3" s="564"/>
      <c r="E3" s="564"/>
      <c r="F3" s="564"/>
      <c r="G3" s="564"/>
      <c r="H3" s="564"/>
      <c r="I3" s="564"/>
      <c r="J3" s="564"/>
      <c r="K3" s="564"/>
      <c r="L3" s="666" t="s">
        <v>2856</v>
      </c>
      <c r="M3" s="666"/>
      <c r="N3" s="668" t="str">
        <f>変換!$D$33</f>
        <v>(退職) 戸井田 勇弥</v>
      </c>
      <c r="O3" s="668"/>
      <c r="P3" s="668"/>
      <c r="T3" s="584" t="s">
        <v>2979</v>
      </c>
      <c r="U3" s="584"/>
      <c r="V3" s="569" t="str">
        <f>信用状況</f>
        <v>ご主人様の会社規模　リフォーム業者二代目社長</v>
      </c>
      <c r="W3" s="569"/>
      <c r="X3" s="569"/>
      <c r="Y3" s="569"/>
      <c r="Z3" s="569"/>
      <c r="AA3" s="569"/>
      <c r="AB3" s="569"/>
      <c r="AC3" s="569"/>
      <c r="AD3" s="569"/>
      <c r="AE3" s="569"/>
      <c r="AF3" s="569"/>
      <c r="AG3" s="569"/>
      <c r="AH3" s="569"/>
      <c r="AI3" s="569"/>
      <c r="AJ3" s="569"/>
      <c r="AK3" s="569"/>
    </row>
    <row r="4" spans="2:37">
      <c r="B4" s="586" t="s">
        <v>2857</v>
      </c>
      <c r="C4" s="586"/>
      <c r="D4" s="586"/>
      <c r="T4" s="584" t="s">
        <v>2980</v>
      </c>
      <c r="U4" s="584"/>
      <c r="V4" s="569" t="str">
        <f>家族構成</f>
        <v>ご主人　奥様　長男　次男　三男</v>
      </c>
      <c r="W4" s="569"/>
      <c r="X4" s="569"/>
      <c r="Y4" s="569"/>
      <c r="Z4" s="569"/>
      <c r="AA4" s="569"/>
      <c r="AB4" s="569"/>
      <c r="AC4" s="569"/>
      <c r="AD4" s="569"/>
      <c r="AE4" s="569"/>
      <c r="AF4" s="569"/>
      <c r="AG4" s="569"/>
      <c r="AH4" s="569"/>
      <c r="AI4" s="569"/>
      <c r="AJ4" s="569"/>
      <c r="AK4" s="569"/>
    </row>
    <row r="5" spans="2:37">
      <c r="B5" s="584" t="s">
        <v>2925</v>
      </c>
      <c r="C5" s="584"/>
      <c r="D5" s="633" t="str">
        <f>契約コード</f>
        <v>05A3BRONT</v>
      </c>
      <c r="E5" s="633"/>
      <c r="F5" s="633"/>
      <c r="G5" s="584" t="s">
        <v>2926</v>
      </c>
      <c r="H5" s="584"/>
      <c r="I5" s="633" t="str">
        <f>顧客コード</f>
        <v>NA0BRO</v>
      </c>
      <c r="J5" s="633"/>
      <c r="K5" s="633"/>
      <c r="L5" s="584" t="s">
        <v>1850</v>
      </c>
      <c r="M5" s="584"/>
      <c r="N5" s="633" t="str">
        <f>_xlfn.XLOOKUP("ItemTitle",JSONデータ!$H:$H,JSONデータ!$I:$I,"",0)</f>
        <v>actie</v>
      </c>
      <c r="O5" s="633"/>
      <c r="P5" s="633"/>
      <c r="T5" s="590" t="s">
        <v>2981</v>
      </c>
      <c r="U5" s="590"/>
      <c r="V5" s="569" t="str">
        <f>施主との約束</f>
        <v>素敵なお家づくりをする</v>
      </c>
      <c r="W5" s="569"/>
      <c r="X5" s="569"/>
      <c r="Y5" s="569"/>
      <c r="Z5" s="569"/>
      <c r="AA5" s="569"/>
      <c r="AB5" s="569"/>
      <c r="AC5" s="569"/>
      <c r="AD5" s="569"/>
      <c r="AE5" s="569"/>
      <c r="AF5" s="569"/>
      <c r="AG5" s="569"/>
      <c r="AH5" s="569"/>
      <c r="AI5" s="569"/>
      <c r="AJ5" s="569"/>
      <c r="AK5" s="569"/>
    </row>
    <row r="6" spans="2:37">
      <c r="B6" s="584" t="s">
        <v>2927</v>
      </c>
      <c r="C6" s="584"/>
      <c r="D6" s="575">
        <f>契約日</f>
        <v>45842</v>
      </c>
      <c r="E6" s="575"/>
      <c r="F6" s="575"/>
      <c r="G6" s="584" t="s">
        <v>2928</v>
      </c>
      <c r="H6" s="584"/>
      <c r="I6" s="633" t="str">
        <f>契約カウント月</f>
        <v>9月</v>
      </c>
      <c r="J6" s="633"/>
      <c r="K6" s="633"/>
      <c r="L6" s="584" t="s">
        <v>2929</v>
      </c>
      <c r="M6" s="584"/>
      <c r="N6" s="633" t="str">
        <f>_xlfn.XLOOKUP(集客事由+0,集客[ID],集客[集客事由],"",0)</f>
        <v>モデルハウス新規来場</v>
      </c>
      <c r="O6" s="633"/>
      <c r="P6" s="633"/>
      <c r="T6" s="577" t="s">
        <v>2982</v>
      </c>
      <c r="U6" s="577"/>
      <c r="V6" s="577" t="s">
        <v>2870</v>
      </c>
      <c r="W6" s="577"/>
      <c r="X6" s="577" t="s">
        <v>2871</v>
      </c>
      <c r="Y6" s="577"/>
      <c r="Z6" s="589" t="str">
        <f>土地所有者</f>
        <v>田中　利治</v>
      </c>
      <c r="AA6" s="589"/>
      <c r="AB6" s="589"/>
      <c r="AC6" s="577" t="s">
        <v>2989</v>
      </c>
      <c r="AD6" s="577"/>
      <c r="AE6" s="569" t="str">
        <f>地目</f>
        <v>宅地</v>
      </c>
      <c r="AF6" s="569"/>
      <c r="AG6" s="569"/>
      <c r="AH6" s="577" t="s">
        <v>2874</v>
      </c>
      <c r="AI6" s="577"/>
      <c r="AJ6" s="588" t="str">
        <f>IF(農地転用="0","無し","有り")</f>
        <v>無し</v>
      </c>
      <c r="AK6" s="588"/>
    </row>
    <row r="7" spans="2:37">
      <c r="B7" s="584" t="s">
        <v>2930</v>
      </c>
      <c r="C7" s="584"/>
      <c r="D7" s="576" t="str">
        <f>_xlfn.XLOOKUP("ClassA",JSONデータ!$B:$B,JSONデータ!$C:$C,"",0)</f>
        <v>ネクストイノベーション株式会社</v>
      </c>
      <c r="E7" s="576"/>
      <c r="F7" s="576"/>
      <c r="G7" s="576"/>
      <c r="H7" s="576"/>
      <c r="I7" s="576"/>
      <c r="J7" s="576"/>
      <c r="K7" s="576"/>
      <c r="L7" s="576"/>
      <c r="M7" s="576"/>
      <c r="N7" s="576"/>
      <c r="O7" s="576"/>
      <c r="P7" s="576"/>
      <c r="T7" s="577"/>
      <c r="U7" s="577"/>
      <c r="V7" s="577"/>
      <c r="W7" s="577"/>
      <c r="X7" s="577" t="s">
        <v>2983</v>
      </c>
      <c r="Y7" s="577"/>
      <c r="Z7" s="569" t="str">
        <f>土地所有者_続柄</f>
        <v>父</v>
      </c>
      <c r="AA7" s="569"/>
      <c r="AB7" s="569"/>
      <c r="AC7" s="577" t="s">
        <v>2873</v>
      </c>
      <c r="AD7" s="577"/>
      <c r="AE7" s="569" t="str">
        <f>土地残金日</f>
        <v>無し</v>
      </c>
      <c r="AF7" s="569"/>
      <c r="AG7" s="569"/>
      <c r="AH7" s="577" t="s">
        <v>2984</v>
      </c>
      <c r="AI7" s="577"/>
      <c r="AJ7" s="588" t="str">
        <f>IF(境界杭="0","無し","有り")</f>
        <v>有り</v>
      </c>
      <c r="AK7" s="588"/>
    </row>
    <row r="8" spans="2:37">
      <c r="B8" s="584" t="s">
        <v>2931</v>
      </c>
      <c r="C8" s="584"/>
      <c r="D8" s="576" t="str">
        <f>_xlfn.XLOOKUP("ClassA",JSONデータ!$D:$D,JSONデータ!$E:$E,"",0)</f>
        <v>ネクストイノベーション株式会社</v>
      </c>
      <c r="E8" s="576"/>
      <c r="F8" s="576"/>
      <c r="G8" s="576"/>
      <c r="H8" s="576"/>
      <c r="I8" s="576"/>
      <c r="J8" s="576"/>
      <c r="K8" s="576"/>
      <c r="L8" s="576"/>
      <c r="M8" s="576"/>
      <c r="N8" s="576"/>
      <c r="O8" s="576"/>
      <c r="P8" s="576"/>
      <c r="T8" s="577"/>
      <c r="U8" s="577"/>
      <c r="V8" s="577" t="s">
        <v>2872</v>
      </c>
      <c r="W8" s="577"/>
      <c r="X8" s="577" t="s">
        <v>2985</v>
      </c>
      <c r="Y8" s="577"/>
      <c r="Z8" s="569" t="str">
        <f>仲介業者</f>
        <v>無し</v>
      </c>
      <c r="AA8" s="569"/>
      <c r="AB8" s="569"/>
      <c r="AC8" s="569"/>
      <c r="AD8" s="569"/>
      <c r="AE8" s="569"/>
      <c r="AF8" s="569"/>
      <c r="AG8" s="569"/>
      <c r="AH8" s="569"/>
      <c r="AI8" s="569"/>
      <c r="AJ8" s="569"/>
      <c r="AK8" s="569"/>
    </row>
    <row r="9" spans="2:37">
      <c r="B9" s="584" t="s">
        <v>1847</v>
      </c>
      <c r="C9" s="584"/>
      <c r="D9" s="633" t="str">
        <f>_xlfn.XLOOKUP("ItemTitle",JSONデータ!$F:$F,JSONデータ!$G:$G,"",0)</f>
        <v>actie 八王子</v>
      </c>
      <c r="E9" s="633"/>
      <c r="F9" s="633"/>
      <c r="G9" s="633"/>
      <c r="H9" s="633"/>
      <c r="I9" s="584" t="s">
        <v>2932</v>
      </c>
      <c r="J9" s="584"/>
      <c r="K9" s="633" t="str">
        <f>振込先</f>
        <v>りそな銀行　立川支店　普通　2193734</v>
      </c>
      <c r="L9" s="633"/>
      <c r="M9" s="633"/>
      <c r="N9" s="633"/>
      <c r="O9" s="633"/>
      <c r="P9" s="633"/>
      <c r="T9" s="577"/>
      <c r="U9" s="577"/>
      <c r="V9" s="577" t="s">
        <v>2875</v>
      </c>
      <c r="W9" s="577"/>
      <c r="X9" s="569" t="str">
        <f>その他注意</f>
        <v/>
      </c>
      <c r="Y9" s="569"/>
      <c r="Z9" s="569"/>
      <c r="AA9" s="569"/>
      <c r="AB9" s="569"/>
      <c r="AC9" s="569"/>
      <c r="AD9" s="569"/>
      <c r="AE9" s="569"/>
      <c r="AF9" s="569"/>
      <c r="AG9" s="569"/>
      <c r="AH9" s="569"/>
      <c r="AI9" s="569"/>
      <c r="AJ9" s="569"/>
      <c r="AK9" s="569"/>
    </row>
    <row r="10" spans="2:37">
      <c r="B10" s="577" t="s">
        <v>2963</v>
      </c>
      <c r="C10" s="577"/>
      <c r="D10" s="633" t="str">
        <f>変換!$D$23</f>
        <v>中村 賢治</v>
      </c>
      <c r="E10" s="633"/>
      <c r="F10" s="633"/>
      <c r="G10" s="584" t="s">
        <v>2962</v>
      </c>
      <c r="H10" s="584"/>
      <c r="I10" s="633" t="str">
        <f>変換!$D$24</f>
        <v/>
      </c>
      <c r="J10" s="633"/>
      <c r="K10" s="633"/>
      <c r="L10" s="577" t="s">
        <v>2851</v>
      </c>
      <c r="M10" s="577"/>
      <c r="N10" s="633" t="str">
        <f>変換!$D$29</f>
        <v>溝口 大介</v>
      </c>
      <c r="O10" s="633"/>
      <c r="P10" s="633"/>
      <c r="T10" s="586" t="s">
        <v>2991</v>
      </c>
      <c r="U10" s="586"/>
      <c r="V10" s="586"/>
      <c r="W10" s="584" t="s">
        <v>1853</v>
      </c>
      <c r="X10" s="584"/>
      <c r="Y10" s="584"/>
      <c r="Z10" s="584"/>
      <c r="AA10" s="36"/>
      <c r="AB10" s="584" t="s">
        <v>2986</v>
      </c>
      <c r="AC10" s="584"/>
      <c r="AD10" s="584"/>
      <c r="AE10" s="584"/>
      <c r="AF10" s="584" t="s">
        <v>1854</v>
      </c>
      <c r="AG10" s="584"/>
      <c r="AH10" s="584"/>
      <c r="AI10" s="584"/>
    </row>
    <row r="11" spans="2:37">
      <c r="B11" s="577" t="s">
        <v>2852</v>
      </c>
      <c r="C11" s="577"/>
      <c r="D11" s="633" t="str">
        <f>変換!$D$25</f>
        <v>津原 陸斗</v>
      </c>
      <c r="E11" s="633"/>
      <c r="F11" s="633"/>
      <c r="G11" s="577" t="s">
        <v>2854</v>
      </c>
      <c r="H11" s="577"/>
      <c r="I11" s="633" t="str">
        <f>変換!$D$28</f>
        <v>津原 陸斗</v>
      </c>
      <c r="J11" s="633"/>
      <c r="K11" s="633"/>
      <c r="L11" s="577" t="s">
        <v>2853</v>
      </c>
      <c r="M11" s="577"/>
      <c r="N11" s="633" t="str">
        <f>変換!$D$27</f>
        <v>金井 志織</v>
      </c>
      <c r="O11" s="633"/>
      <c r="P11" s="633"/>
      <c r="T11" s="577" t="s">
        <v>2876</v>
      </c>
      <c r="U11" s="577"/>
      <c r="V11" s="577"/>
      <c r="W11" s="583">
        <f>着工予定日</f>
        <v>45896</v>
      </c>
      <c r="X11" s="583"/>
      <c r="Y11" s="583"/>
      <c r="Z11" s="583"/>
      <c r="AA11" s="92" t="s">
        <v>2992</v>
      </c>
      <c r="AB11" s="583">
        <f>引渡予定日</f>
        <v>46055</v>
      </c>
      <c r="AC11" s="583"/>
      <c r="AD11" s="583"/>
      <c r="AE11" s="583"/>
      <c r="AF11" s="583">
        <f>上棟予定日</f>
        <v>45936</v>
      </c>
      <c r="AG11" s="583"/>
      <c r="AH11" s="583"/>
      <c r="AI11" s="583"/>
    </row>
    <row r="12" spans="2:37">
      <c r="B12" s="577" t="s">
        <v>2937</v>
      </c>
      <c r="C12" s="577"/>
      <c r="D12" s="633" t="str">
        <f>変換!$D$26</f>
        <v>遠藤 ユウジ</v>
      </c>
      <c r="E12" s="633"/>
      <c r="F12" s="633"/>
      <c r="G12" s="577" t="s">
        <v>2938</v>
      </c>
      <c r="H12" s="577"/>
      <c r="I12" s="633" t="str">
        <f>変換!$D$32</f>
        <v>遠藤 ユウジ</v>
      </c>
      <c r="J12" s="633"/>
      <c r="K12" s="633"/>
      <c r="L12" s="577" t="s">
        <v>2939</v>
      </c>
      <c r="M12" s="577"/>
      <c r="N12" s="633" t="str">
        <f>変換!$D$31</f>
        <v>佐藤 宏幸</v>
      </c>
      <c r="O12" s="633"/>
      <c r="P12" s="633"/>
      <c r="T12" s="584" t="s">
        <v>2987</v>
      </c>
      <c r="U12" s="584"/>
      <c r="V12" s="584"/>
      <c r="W12" s="585">
        <f>着工予定参考日</f>
        <v>45896</v>
      </c>
      <c r="X12" s="585"/>
      <c r="Y12" s="585"/>
      <c r="Z12" s="585"/>
      <c r="AA12" s="582" t="s">
        <v>2988</v>
      </c>
      <c r="AB12" s="582"/>
      <c r="AC12" s="582"/>
      <c r="AD12" s="582"/>
    </row>
    <row r="13" spans="2:37">
      <c r="B13" s="584" t="s">
        <v>2933</v>
      </c>
      <c r="C13" s="584"/>
      <c r="D13" s="633" t="str">
        <f>変換!$D$30</f>
        <v>金井 志織</v>
      </c>
      <c r="E13" s="633"/>
      <c r="F13" s="633"/>
      <c r="G13" s="584" t="s">
        <v>2934</v>
      </c>
      <c r="H13" s="584"/>
      <c r="I13" s="588" t="str">
        <f>IF(設計契約=0,"無し","有り")</f>
        <v>有り</v>
      </c>
      <c r="J13" s="588"/>
      <c r="K13" s="588"/>
      <c r="L13" s="584" t="s">
        <v>2935</v>
      </c>
      <c r="M13" s="584"/>
      <c r="N13" s="575">
        <f>設計契約日</f>
        <v>45557</v>
      </c>
      <c r="O13" s="575"/>
      <c r="P13" s="575"/>
      <c r="T13" s="577" t="s">
        <v>2878</v>
      </c>
      <c r="U13" s="577"/>
      <c r="V13" s="577"/>
      <c r="W13" s="577" t="s">
        <v>2879</v>
      </c>
      <c r="X13" s="577"/>
      <c r="Y13" s="577"/>
      <c r="Z13" s="577" t="s">
        <v>2880</v>
      </c>
      <c r="AA13" s="577"/>
      <c r="AB13" s="577"/>
      <c r="AC13" s="577" t="s">
        <v>2881</v>
      </c>
      <c r="AD13" s="577"/>
      <c r="AE13" s="577"/>
      <c r="AF13" s="577" t="s">
        <v>2882</v>
      </c>
      <c r="AG13" s="577"/>
      <c r="AH13" s="577"/>
      <c r="AI13" s="577" t="s">
        <v>2883</v>
      </c>
      <c r="AJ13" s="577"/>
      <c r="AK13" s="577"/>
    </row>
    <row r="14" spans="2:37">
      <c r="B14" s="586" t="s">
        <v>2936</v>
      </c>
      <c r="C14" s="586"/>
      <c r="D14" s="586"/>
      <c r="T14" s="575">
        <f>図面確定日</f>
        <v>45801</v>
      </c>
      <c r="U14" s="575"/>
      <c r="V14" s="575"/>
      <c r="W14" s="575">
        <f>仕様打合せ日</f>
        <v>45857</v>
      </c>
      <c r="X14" s="575"/>
      <c r="Y14" s="575"/>
      <c r="Z14" s="575">
        <f>承認図</f>
        <v>45865</v>
      </c>
      <c r="AA14" s="575"/>
      <c r="AB14" s="575"/>
      <c r="AC14" s="575">
        <f>地盤調査</f>
        <v>45870</v>
      </c>
      <c r="AD14" s="575"/>
      <c r="AE14" s="575"/>
      <c r="AF14" s="575">
        <f>資金承認</f>
        <v>45842</v>
      </c>
      <c r="AG14" s="575"/>
      <c r="AH14" s="575"/>
      <c r="AI14" s="575">
        <f>地鎮祭</f>
        <v>45872</v>
      </c>
      <c r="AJ14" s="575"/>
      <c r="AK14" s="575"/>
    </row>
    <row r="15" spans="2:37">
      <c r="B15" s="577" t="s">
        <v>2946</v>
      </c>
      <c r="C15" s="577"/>
      <c r="D15" s="576" t="str">
        <f>姓1&amp;" " &amp;名1</f>
        <v>田中 勝也</v>
      </c>
      <c r="E15" s="576"/>
      <c r="F15" s="576"/>
      <c r="G15" s="576"/>
      <c r="H15" s="576"/>
      <c r="I15" s="576"/>
      <c r="J15" s="576"/>
      <c r="K15" s="576"/>
      <c r="L15" s="577" t="s">
        <v>2858</v>
      </c>
      <c r="M15" s="577"/>
      <c r="N15" s="633" t="str">
        <f>施主_電話番号</f>
        <v>080-5434-8561</v>
      </c>
      <c r="O15" s="633"/>
      <c r="P15" s="633"/>
      <c r="T15" s="581">
        <f>図確参考日</f>
        <v>45801</v>
      </c>
      <c r="U15" s="581"/>
      <c r="V15" s="581"/>
      <c r="W15" s="581">
        <f>仕様打参考日</f>
        <v>45829</v>
      </c>
      <c r="X15" s="581"/>
      <c r="Y15" s="581"/>
      <c r="Z15" s="581">
        <f>承認図参考日</f>
        <v>45843</v>
      </c>
      <c r="AA15" s="581"/>
      <c r="AB15" s="581"/>
      <c r="AC15" s="581">
        <f>地盤調査参考日</f>
        <v>45807</v>
      </c>
      <c r="AD15" s="581"/>
      <c r="AE15" s="581"/>
      <c r="AF15" s="582" t="s">
        <v>2988</v>
      </c>
      <c r="AG15" s="582"/>
      <c r="AH15" s="582"/>
      <c r="AI15" s="582"/>
    </row>
    <row r="16" spans="2:37">
      <c r="B16" s="577"/>
      <c r="C16" s="577"/>
      <c r="D16" s="576" t="str">
        <f>姓カナ1&amp;" " &amp;名カナ1</f>
        <v>タナカ カツヤ</v>
      </c>
      <c r="E16" s="576"/>
      <c r="F16" s="576"/>
      <c r="G16" s="576"/>
      <c r="H16" s="576"/>
      <c r="I16" s="576"/>
      <c r="J16" s="576"/>
      <c r="K16" s="576"/>
      <c r="L16" s="584" t="s">
        <v>2940</v>
      </c>
      <c r="M16" s="584"/>
      <c r="N16" s="633" t="str">
        <f>施主_携帯電話</f>
        <v>080-5434-8561</v>
      </c>
      <c r="O16" s="633"/>
      <c r="P16" s="633"/>
    </row>
    <row r="17" spans="2:37">
      <c r="B17" s="584" t="s">
        <v>2942</v>
      </c>
      <c r="C17" s="584"/>
      <c r="D17" s="634">
        <f>生年月日1</f>
        <v>33950</v>
      </c>
      <c r="E17" s="634"/>
      <c r="F17" s="634"/>
      <c r="G17" s="584" t="s">
        <v>2943</v>
      </c>
      <c r="H17" s="584"/>
      <c r="I17" s="633">
        <f>年齢1</f>
        <v>31</v>
      </c>
      <c r="J17" s="633"/>
      <c r="K17" s="633"/>
      <c r="L17" s="584" t="s">
        <v>2945</v>
      </c>
      <c r="M17" s="584"/>
      <c r="N17" s="633" t="str">
        <f>IF(法人チェック=FALSE,"いいえ","はい")</f>
        <v>いいえ</v>
      </c>
      <c r="O17" s="633"/>
      <c r="P17" s="633"/>
      <c r="T17" s="586" t="s">
        <v>2990</v>
      </c>
      <c r="U17" s="586"/>
      <c r="V17" s="586"/>
      <c r="W17" s="577" t="s">
        <v>2884</v>
      </c>
      <c r="X17" s="577"/>
      <c r="Y17" s="577"/>
      <c r="Z17" s="577" t="s">
        <v>2885</v>
      </c>
      <c r="AA17" s="577"/>
      <c r="AB17" s="577"/>
      <c r="AC17" s="587" t="s">
        <v>2993</v>
      </c>
      <c r="AD17" s="587"/>
      <c r="AE17" s="587"/>
      <c r="AF17" s="587"/>
      <c r="AG17" s="587"/>
      <c r="AH17" s="587"/>
      <c r="AI17" s="587"/>
      <c r="AJ17" s="587"/>
      <c r="AK17" s="587"/>
    </row>
    <row r="18" spans="2:37">
      <c r="B18" s="584" t="s">
        <v>2944</v>
      </c>
      <c r="C18" s="584"/>
      <c r="D18" s="576" t="str">
        <f>施主_勤務先</f>
        <v>株式会社ハウスクリニック</v>
      </c>
      <c r="E18" s="576"/>
      <c r="F18" s="576"/>
      <c r="G18" s="576"/>
      <c r="H18" s="576"/>
      <c r="I18" s="576"/>
      <c r="J18" s="576"/>
      <c r="K18" s="576"/>
      <c r="L18" s="584" t="s">
        <v>2941</v>
      </c>
      <c r="M18" s="584"/>
      <c r="N18" s="633">
        <f>施主_勤続年数</f>
        <v>8</v>
      </c>
      <c r="O18" s="633"/>
      <c r="P18" s="633"/>
      <c r="T18" s="577" t="s">
        <v>2994</v>
      </c>
      <c r="U18" s="577"/>
      <c r="V18" s="577"/>
      <c r="W18" s="575">
        <f>事前申請_提出予定</f>
        <v>0</v>
      </c>
      <c r="X18" s="575"/>
      <c r="Y18" s="575"/>
      <c r="Z18" s="575">
        <f>事前申請_決裁予定</f>
        <v>0</v>
      </c>
      <c r="AA18" s="575"/>
      <c r="AB18" s="575"/>
      <c r="AC18" s="576" t="str">
        <f>事前申請_備考</f>
        <v/>
      </c>
      <c r="AD18" s="576"/>
      <c r="AE18" s="576"/>
      <c r="AF18" s="576"/>
      <c r="AG18" s="576"/>
      <c r="AH18" s="576"/>
      <c r="AI18" s="576"/>
      <c r="AJ18" s="576"/>
      <c r="AK18" s="576"/>
    </row>
    <row r="19" spans="2:37">
      <c r="B19" s="584" t="s">
        <v>2947</v>
      </c>
      <c r="C19" s="584"/>
      <c r="D19" s="633" t="str">
        <f>郵便番号1</f>
        <v>193-0931</v>
      </c>
      <c r="E19" s="633"/>
      <c r="F19" s="633"/>
      <c r="G19" s="576" t="str">
        <f>現住所1</f>
        <v>東京都八王子市台町1-1-18　リ-ブルファイン台町104</v>
      </c>
      <c r="H19" s="576"/>
      <c r="I19" s="576"/>
      <c r="J19" s="576"/>
      <c r="K19" s="576"/>
      <c r="L19" s="576"/>
      <c r="M19" s="576"/>
      <c r="N19" s="576"/>
      <c r="O19" s="576"/>
      <c r="P19" s="576"/>
      <c r="T19" s="577"/>
      <c r="U19" s="577"/>
      <c r="V19" s="577"/>
      <c r="W19" s="581">
        <f>事前提出参考日</f>
        <v>0</v>
      </c>
      <c r="X19" s="581"/>
      <c r="Y19" s="581"/>
      <c r="Z19" s="581">
        <f>事前決済参考日</f>
        <v>0</v>
      </c>
      <c r="AA19" s="581"/>
      <c r="AB19" s="581"/>
      <c r="AC19" s="574"/>
      <c r="AD19" s="574"/>
      <c r="AE19" s="574"/>
      <c r="AF19" s="574"/>
      <c r="AG19" s="574"/>
      <c r="AH19" s="574"/>
      <c r="AI19" s="574"/>
      <c r="AJ19" s="574"/>
      <c r="AK19" s="574"/>
    </row>
    <row r="20" spans="2:37">
      <c r="B20" s="584" t="s">
        <v>2948</v>
      </c>
      <c r="C20" s="584"/>
      <c r="D20" s="633" t="str">
        <f>建上地_郵便番号</f>
        <v xml:space="preserve">193-0931 </v>
      </c>
      <c r="E20" s="633"/>
      <c r="F20" s="633"/>
      <c r="G20" s="576" t="str">
        <f>建上地_住居表示</f>
        <v>東京都八王子市台町１丁目2-5</v>
      </c>
      <c r="H20" s="576"/>
      <c r="I20" s="576"/>
      <c r="J20" s="576"/>
      <c r="K20" s="576"/>
      <c r="L20" s="576"/>
      <c r="M20" s="576"/>
      <c r="N20" s="576"/>
      <c r="O20" s="576"/>
      <c r="P20" s="576"/>
      <c r="T20" s="577" t="s">
        <v>2995</v>
      </c>
      <c r="U20" s="577"/>
      <c r="V20" s="577"/>
      <c r="W20" s="575">
        <f>確認申請_提出予定</f>
        <v>45814</v>
      </c>
      <c r="X20" s="575"/>
      <c r="Y20" s="575"/>
      <c r="Z20" s="575">
        <f>確認申請_決裁予定</f>
        <v>45828</v>
      </c>
      <c r="AA20" s="575"/>
      <c r="AB20" s="575"/>
      <c r="AC20" s="576" t="str">
        <f>確認申請_備考</f>
        <v/>
      </c>
      <c r="AD20" s="576"/>
      <c r="AE20" s="576"/>
      <c r="AF20" s="576"/>
      <c r="AG20" s="576"/>
      <c r="AH20" s="576"/>
      <c r="AI20" s="576"/>
      <c r="AJ20" s="576"/>
      <c r="AK20" s="576"/>
    </row>
    <row r="21" spans="2:37">
      <c r="B21" s="586" t="s">
        <v>2859</v>
      </c>
      <c r="C21" s="586"/>
      <c r="D21" s="586"/>
      <c r="T21" s="577"/>
      <c r="U21" s="577"/>
      <c r="V21" s="577"/>
      <c r="W21" s="581">
        <f>確認提出参考日</f>
        <v>45814</v>
      </c>
      <c r="X21" s="581"/>
      <c r="Y21" s="581"/>
      <c r="Z21" s="581">
        <f>確認決済参考日</f>
        <v>45828</v>
      </c>
      <c r="AA21" s="581"/>
      <c r="AB21" s="581"/>
      <c r="AC21" s="574"/>
      <c r="AD21" s="574"/>
      <c r="AE21" s="574"/>
      <c r="AF21" s="574"/>
      <c r="AG21" s="574"/>
      <c r="AH21" s="574"/>
      <c r="AI21" s="574"/>
      <c r="AJ21" s="574"/>
      <c r="AK21" s="574"/>
    </row>
    <row r="22" spans="2:37">
      <c r="B22" s="584" t="s">
        <v>1850</v>
      </c>
      <c r="C22" s="584"/>
      <c r="D22" s="576" t="str">
        <f>_xlfn.XLOOKUP("ItemTitle",JSONデータ!$H:$H,JSONデータ!$I:$I,"",0)</f>
        <v>actie</v>
      </c>
      <c r="E22" s="576"/>
      <c r="F22" s="576"/>
      <c r="G22" s="576"/>
      <c r="H22" s="576"/>
      <c r="I22" s="576"/>
      <c r="J22" s="576"/>
      <c r="K22" s="576"/>
      <c r="L22" s="584" t="s">
        <v>2950</v>
      </c>
      <c r="M22" s="584"/>
      <c r="N22" s="633" t="str">
        <f>外部仕様</f>
        <v>外部仕様書に基づく</v>
      </c>
      <c r="O22" s="633"/>
      <c r="P22" s="633"/>
      <c r="T22" s="577" t="s">
        <v>2886</v>
      </c>
      <c r="U22" s="577"/>
      <c r="V22" s="577"/>
      <c r="W22" s="575">
        <f>その他申請_提出予定</f>
        <v>0</v>
      </c>
      <c r="X22" s="575"/>
      <c r="Y22" s="575"/>
      <c r="Z22" s="575">
        <f>その他申請_決裁予定</f>
        <v>0</v>
      </c>
      <c r="AA22" s="575"/>
      <c r="AB22" s="575"/>
      <c r="AC22" s="576" t="str">
        <f>その他申請_備考</f>
        <v/>
      </c>
      <c r="AD22" s="576"/>
      <c r="AE22" s="576"/>
      <c r="AF22" s="576"/>
      <c r="AG22" s="576"/>
      <c r="AH22" s="576"/>
      <c r="AI22" s="576"/>
      <c r="AJ22" s="576"/>
      <c r="AK22" s="576"/>
    </row>
    <row r="23" spans="2:37">
      <c r="B23" s="584" t="s">
        <v>2949</v>
      </c>
      <c r="C23" s="584"/>
      <c r="D23" s="576" t="str">
        <f>IF(_xlfn.XLOOKUP("ItemTitle",JSONデータ!$J:$J,JSONデータ!$K:$K,"",0)="",RW_LVL,_xlfn.XLOOKUP("ItemTitle",JSONデータ!$J:$J,JSONデータ!$K:$K,"",0) &amp; "  " &amp; RW_LVL)</f>
        <v>smart style  LVL</v>
      </c>
      <c r="E23" s="576"/>
      <c r="F23" s="576"/>
      <c r="G23" s="576"/>
      <c r="H23" s="576"/>
      <c r="I23" s="576"/>
      <c r="J23" s="576"/>
      <c r="K23" s="576"/>
      <c r="L23" s="584" t="s">
        <v>3037</v>
      </c>
      <c r="M23" s="584"/>
      <c r="N23" s="633" t="str">
        <f>内部仕様</f>
        <v>内部仕様書に基づく</v>
      </c>
      <c r="O23" s="633"/>
      <c r="P23" s="633"/>
      <c r="T23" s="578" t="s">
        <v>2887</v>
      </c>
      <c r="U23" s="580"/>
      <c r="V23" s="579"/>
      <c r="W23" s="643" t="str">
        <f>IF(深基礎="0","無し","有り")</f>
        <v>無し</v>
      </c>
      <c r="X23" s="643"/>
      <c r="Y23" s="632" t="s">
        <v>2888</v>
      </c>
      <c r="Z23" s="632"/>
      <c r="AA23" s="665" t="str">
        <f>H</f>
        <v/>
      </c>
      <c r="AB23" s="665"/>
      <c r="AC23" s="632" t="s">
        <v>2889</v>
      </c>
      <c r="AD23" s="632"/>
      <c r="AE23" s="665" t="str">
        <f>L</f>
        <v/>
      </c>
      <c r="AF23" s="665"/>
      <c r="AG23" s="578" t="s">
        <v>2890</v>
      </c>
      <c r="AH23" s="579"/>
      <c r="AI23" s="662" t="str">
        <f>検査機関</f>
        <v>ハウスジーメン</v>
      </c>
      <c r="AJ23" s="662"/>
      <c r="AK23" s="662"/>
    </row>
    <row r="24" spans="2:37">
      <c r="B24" s="584" t="s">
        <v>2951</v>
      </c>
      <c r="C24" s="584"/>
      <c r="D24" s="633" t="str">
        <f>モジュール</f>
        <v>尺モジュール</v>
      </c>
      <c r="E24" s="633"/>
      <c r="F24" s="633"/>
      <c r="G24" s="584" t="s">
        <v>2952</v>
      </c>
      <c r="H24" s="584"/>
      <c r="I24" s="633" t="str">
        <f>防火</f>
        <v>準防火</v>
      </c>
      <c r="J24" s="633"/>
      <c r="K24" s="633"/>
      <c r="L24" s="584" t="s">
        <v>2953</v>
      </c>
      <c r="M24" s="584"/>
      <c r="N24" s="633" t="str">
        <f>建物種類</f>
        <v>2階建て</v>
      </c>
      <c r="O24" s="633"/>
      <c r="P24" s="633"/>
      <c r="T24" s="632" t="s">
        <v>2891</v>
      </c>
      <c r="U24" s="632"/>
      <c r="V24" s="632"/>
      <c r="W24" s="662" t="str">
        <f>_xlfn.XLOOKUP(住宅性能評価,住宅性能評価一覧[ID],住宅性能評価一覧[住宅性能評価],"",0)</f>
        <v>長期優良住宅</v>
      </c>
      <c r="X24" s="662"/>
      <c r="Y24" s="662"/>
      <c r="Z24" s="662"/>
      <c r="AA24" s="662"/>
      <c r="AB24" s="662"/>
      <c r="AC24" s="662"/>
      <c r="AD24" s="662"/>
      <c r="AE24" s="662"/>
      <c r="AF24" s="662"/>
      <c r="AG24" s="663" t="s">
        <v>2892</v>
      </c>
      <c r="AH24" s="664"/>
      <c r="AI24" s="643" t="str">
        <f>IF(フラット35S_財形="0","無し","有り")</f>
        <v>無し</v>
      </c>
      <c r="AJ24" s="643"/>
      <c r="AK24" s="643"/>
    </row>
    <row r="25" spans="2:37">
      <c r="B25" s="584" t="s">
        <v>2954</v>
      </c>
      <c r="C25" s="584"/>
      <c r="D25" s="576" t="str">
        <f>IF(工事名個別&lt;&gt;"",工事名個別&amp;" 様邸 "&amp;物件種別&amp;"工事",工事名&amp;" 様邸 "&amp;物件種別&amp;"工事")</f>
        <v>田中 勝也 様邸 新築工事</v>
      </c>
      <c r="E25" s="576"/>
      <c r="F25" s="576"/>
      <c r="G25" s="576"/>
      <c r="H25" s="576"/>
      <c r="I25" s="576"/>
      <c r="J25" s="576"/>
      <c r="K25" s="576"/>
      <c r="L25" s="584" t="s">
        <v>3036</v>
      </c>
      <c r="M25" s="584"/>
      <c r="N25" s="633" t="str">
        <f>世帯種別</f>
        <v>単世帯</v>
      </c>
      <c r="O25" s="633"/>
      <c r="P25" s="633"/>
      <c r="T25" s="629" t="s">
        <v>2893</v>
      </c>
      <c r="U25" s="629"/>
      <c r="V25" s="629"/>
    </row>
    <row r="26" spans="2:37">
      <c r="B26" s="586" t="s">
        <v>2955</v>
      </c>
      <c r="C26" s="586"/>
      <c r="D26" s="586"/>
      <c r="E26" s="36"/>
      <c r="F26" s="36"/>
      <c r="G26" s="36"/>
      <c r="H26" s="36"/>
      <c r="I26" s="36"/>
      <c r="J26" s="36"/>
      <c r="K26" s="36"/>
      <c r="L26" s="36"/>
      <c r="M26" s="36"/>
      <c r="N26" s="36"/>
      <c r="O26" s="36"/>
      <c r="P26" s="36"/>
      <c r="T26" s="632" t="s">
        <v>2894</v>
      </c>
      <c r="U26" s="632"/>
      <c r="V26" s="632"/>
      <c r="W26" s="643" t="str">
        <f>IF(給水引込工事_有無="0","無し","有り")</f>
        <v>無し</v>
      </c>
      <c r="X26" s="643"/>
      <c r="Y26" s="653">
        <f>給水引込工事_日付</f>
        <v>0</v>
      </c>
      <c r="Z26" s="653"/>
      <c r="AA26" s="653"/>
      <c r="AB26" s="27" t="s">
        <v>2895</v>
      </c>
      <c r="AC26" s="632" t="s">
        <v>2896</v>
      </c>
      <c r="AD26" s="632"/>
      <c r="AE26" s="632"/>
      <c r="AF26" s="643" t="str">
        <f>IF(排水引込工事_有無="0","無し","有り")</f>
        <v>無し</v>
      </c>
      <c r="AG26" s="643"/>
      <c r="AH26" s="653">
        <f>排水引込工事_日付</f>
        <v>0</v>
      </c>
      <c r="AI26" s="653"/>
      <c r="AJ26" s="653"/>
      <c r="AK26" s="27" t="s">
        <v>2895</v>
      </c>
    </row>
    <row r="27" spans="2:37">
      <c r="B27" s="584" t="s">
        <v>2956</v>
      </c>
      <c r="C27" s="584"/>
      <c r="D27" s="630">
        <f>_1F床面積</f>
        <v>78.459999999999994</v>
      </c>
      <c r="E27" s="630"/>
      <c r="F27" s="630"/>
      <c r="G27" s="584" t="s">
        <v>2957</v>
      </c>
      <c r="H27" s="584"/>
      <c r="I27" s="630">
        <f>_2F床面積</f>
        <v>57.75</v>
      </c>
      <c r="J27" s="630"/>
      <c r="K27" s="630"/>
      <c r="L27" s="584" t="s">
        <v>2958</v>
      </c>
      <c r="M27" s="584"/>
      <c r="N27" s="630">
        <f>_3F床面積</f>
        <v>0</v>
      </c>
      <c r="O27" s="630"/>
      <c r="P27" s="630"/>
      <c r="T27" s="632" t="s">
        <v>2901</v>
      </c>
      <c r="U27" s="632"/>
      <c r="V27" s="632"/>
      <c r="W27" s="643" t="str">
        <f>IF(ガス工事_有無="0","無し","有り")</f>
        <v>有り</v>
      </c>
      <c r="X27" s="643"/>
      <c r="Y27" s="653">
        <f>ガス工事_日付</f>
        <v>45961</v>
      </c>
      <c r="Z27" s="653"/>
      <c r="AA27" s="653"/>
      <c r="AB27" s="27" t="s">
        <v>2895</v>
      </c>
      <c r="AC27" s="632" t="s">
        <v>2902</v>
      </c>
      <c r="AD27" s="632"/>
      <c r="AE27" s="632"/>
      <c r="AF27" s="643" t="str">
        <f>IF(プロパン工事_有無="0","無し","有り")</f>
        <v>有り</v>
      </c>
      <c r="AG27" s="643"/>
      <c r="AH27" s="653">
        <f>プロパン工事_日付</f>
        <v>0</v>
      </c>
      <c r="AI27" s="653"/>
      <c r="AJ27" s="653"/>
      <c r="AK27" s="27" t="s">
        <v>2895</v>
      </c>
    </row>
    <row r="28" spans="2:37">
      <c r="B28" s="584" t="s">
        <v>2959</v>
      </c>
      <c r="C28" s="584"/>
      <c r="D28" s="630">
        <f>地下面積</f>
        <v>0</v>
      </c>
      <c r="E28" s="630"/>
      <c r="F28" s="630"/>
      <c r="G28" s="584" t="s">
        <v>2961</v>
      </c>
      <c r="H28" s="584"/>
      <c r="I28" s="630">
        <f>延床面積</f>
        <v>136.21</v>
      </c>
      <c r="J28" s="630"/>
      <c r="K28" s="630"/>
      <c r="L28" s="584" t="s">
        <v>2961</v>
      </c>
      <c r="M28" s="584"/>
      <c r="N28" s="630">
        <f>建築面積_平米</f>
        <v>85.91</v>
      </c>
      <c r="O28" s="630"/>
      <c r="P28" s="630"/>
      <c r="T28" s="632" t="s">
        <v>2897</v>
      </c>
      <c r="U28" s="632"/>
      <c r="V28" s="632"/>
      <c r="W28" s="662" t="str">
        <f>浄化槽工事_人槽</f>
        <v/>
      </c>
      <c r="X28" s="662"/>
      <c r="Y28" s="662"/>
      <c r="Z28" s="27" t="s">
        <v>2898</v>
      </c>
      <c r="AA28" s="632" t="s">
        <v>2899</v>
      </c>
      <c r="AB28" s="632"/>
      <c r="AC28" s="643" t="str">
        <f>IF(補助金_有無="0","無し","有り")</f>
        <v>有り</v>
      </c>
      <c r="AD28" s="643"/>
      <c r="AE28" s="632" t="s">
        <v>2900</v>
      </c>
      <c r="AF28" s="632"/>
      <c r="AG28" s="645" t="str">
        <f>手配者</f>
        <v/>
      </c>
      <c r="AH28" s="645"/>
      <c r="AI28" s="645"/>
      <c r="AJ28" s="645"/>
      <c r="AK28" s="645"/>
    </row>
    <row r="29" spans="2:37">
      <c r="B29" s="584" t="s">
        <v>2960</v>
      </c>
      <c r="C29" s="584"/>
      <c r="D29" s="630">
        <f>PH階床面積</f>
        <v>0</v>
      </c>
      <c r="E29" s="630"/>
      <c r="F29" s="630"/>
      <c r="G29" s="584"/>
      <c r="H29" s="584"/>
      <c r="I29" s="631">
        <f>延床面積_坪</f>
        <v>41.19</v>
      </c>
      <c r="J29" s="631"/>
      <c r="K29" s="631"/>
      <c r="L29" s="584"/>
      <c r="M29" s="584"/>
      <c r="N29" s="631">
        <f>建築面積_坪</f>
        <v>25.98</v>
      </c>
      <c r="O29" s="631"/>
      <c r="P29" s="631"/>
      <c r="T29" s="629" t="s">
        <v>2999</v>
      </c>
      <c r="U29" s="629"/>
      <c r="V29" s="629"/>
    </row>
    <row r="30" spans="2:37">
      <c r="B30" s="586" t="s">
        <v>2860</v>
      </c>
      <c r="C30" s="586"/>
      <c r="D30" s="586"/>
      <c r="T30" s="632" t="s">
        <v>2903</v>
      </c>
      <c r="U30" s="632"/>
      <c r="V30" s="632"/>
      <c r="W30" s="649" t="str">
        <f>IF(建設解体工事_契約="0","契約外","契約内")</f>
        <v>契約外</v>
      </c>
      <c r="X30" s="650"/>
      <c r="Y30" s="645" t="str">
        <f>建設解体工事_業者</f>
        <v/>
      </c>
      <c r="Z30" s="645"/>
      <c r="AA30" s="645"/>
      <c r="AB30" s="645"/>
      <c r="AC30" s="101" t="s">
        <v>2904</v>
      </c>
      <c r="AD30" s="570">
        <f>建設解体工事_着手日</f>
        <v>0</v>
      </c>
      <c r="AE30" s="571"/>
      <c r="AF30" s="572"/>
      <c r="AG30" s="26" t="s">
        <v>2877</v>
      </c>
      <c r="AH30" s="101" t="s">
        <v>2905</v>
      </c>
      <c r="AI30" s="570">
        <f>建設解体工事_完了日</f>
        <v>0</v>
      </c>
      <c r="AJ30" s="571"/>
      <c r="AK30" s="572"/>
    </row>
    <row r="31" spans="2:37">
      <c r="B31" s="625"/>
      <c r="C31" s="625"/>
      <c r="D31" s="625"/>
      <c r="E31" s="625"/>
      <c r="F31" s="584" t="s">
        <v>2968</v>
      </c>
      <c r="G31" s="584"/>
      <c r="H31" s="584"/>
      <c r="I31" s="584"/>
      <c r="J31" s="584" t="s">
        <v>2964</v>
      </c>
      <c r="K31" s="584"/>
      <c r="L31" s="584"/>
      <c r="M31" s="584"/>
      <c r="N31" s="584" t="s">
        <v>2965</v>
      </c>
      <c r="O31" s="584"/>
      <c r="P31" s="584"/>
      <c r="T31" s="632" t="s">
        <v>2906</v>
      </c>
      <c r="U31" s="632"/>
      <c r="V31" s="632"/>
      <c r="W31" s="649" t="str">
        <f>IF(敷地造成工事_契約="0","契約外","契約内")</f>
        <v>契約外</v>
      </c>
      <c r="X31" s="650"/>
      <c r="Y31" s="645" t="str">
        <f>敷地造成工事_業者</f>
        <v/>
      </c>
      <c r="Z31" s="645"/>
      <c r="AA31" s="645"/>
      <c r="AB31" s="645"/>
      <c r="AC31" s="101" t="s">
        <v>2904</v>
      </c>
      <c r="AD31" s="570">
        <f>敷地造成工事_着手日</f>
        <v>0</v>
      </c>
      <c r="AE31" s="571"/>
      <c r="AF31" s="572"/>
      <c r="AG31" s="26" t="s">
        <v>2877</v>
      </c>
      <c r="AH31" s="101" t="s">
        <v>2905</v>
      </c>
      <c r="AI31" s="570">
        <f>敷地造成工事_完了日</f>
        <v>0</v>
      </c>
      <c r="AJ31" s="571"/>
      <c r="AK31" s="572"/>
    </row>
    <row r="32" spans="2:37">
      <c r="B32" s="617" t="s">
        <v>1849</v>
      </c>
      <c r="C32" s="617"/>
      <c r="D32" s="658" t="s">
        <v>2966</v>
      </c>
      <c r="E32" s="658"/>
      <c r="F32" s="628">
        <f>【設契】15_付帯工事無</f>
        <v>28352928</v>
      </c>
      <c r="G32" s="628"/>
      <c r="H32" s="628"/>
      <c r="I32" s="628"/>
      <c r="J32" s="628">
        <f>【設契】付帯無_粗利益額</f>
        <v>5901311</v>
      </c>
      <c r="K32" s="628"/>
      <c r="L32" s="628"/>
      <c r="M32" s="628"/>
      <c r="N32" s="626">
        <f>IF(F32=0,"",ROUNDDOWN(J32/F32,3))</f>
        <v>0.20799999999999999</v>
      </c>
      <c r="O32" s="626"/>
      <c r="P32" s="626"/>
      <c r="T32" s="632" t="s">
        <v>2907</v>
      </c>
      <c r="U32" s="632"/>
      <c r="V32" s="632"/>
      <c r="W32" s="649" t="str">
        <f>IF(外構工事_契約="0","契約外","契約内")</f>
        <v>契約外</v>
      </c>
      <c r="X32" s="650"/>
      <c r="Y32" s="651"/>
      <c r="Z32" s="651"/>
      <c r="AA32" s="651"/>
      <c r="AB32" s="651"/>
      <c r="AC32" s="101" t="s">
        <v>2904</v>
      </c>
      <c r="AD32" s="570">
        <f>外構工事_着手日</f>
        <v>0</v>
      </c>
      <c r="AE32" s="571"/>
      <c r="AF32" s="572"/>
      <c r="AG32" s="26" t="s">
        <v>2877</v>
      </c>
      <c r="AH32" s="101" t="s">
        <v>2905</v>
      </c>
      <c r="AI32" s="570">
        <f>外構工事_完了日</f>
        <v>0</v>
      </c>
      <c r="AJ32" s="571"/>
      <c r="AK32" s="572"/>
    </row>
    <row r="33" spans="2:37" ht="21.75" thickBot="1">
      <c r="B33" s="618"/>
      <c r="C33" s="618"/>
      <c r="D33" s="657" t="s">
        <v>2967</v>
      </c>
      <c r="E33" s="657"/>
      <c r="F33" s="619">
        <f>【設契】契約金額</f>
        <v>29365928</v>
      </c>
      <c r="G33" s="619"/>
      <c r="H33" s="619"/>
      <c r="I33" s="619"/>
      <c r="J33" s="619">
        <f>【設契】粗利益額</f>
        <v>6091411</v>
      </c>
      <c r="K33" s="619"/>
      <c r="L33" s="619"/>
      <c r="M33" s="619"/>
      <c r="N33" s="627">
        <f t="shared" ref="N33:N35" si="0">IF(F33=0,"",ROUNDDOWN(J33/F33,3))</f>
        <v>0.20699999999999999</v>
      </c>
      <c r="O33" s="627"/>
      <c r="P33" s="627"/>
      <c r="T33" s="632" t="s">
        <v>2908</v>
      </c>
      <c r="U33" s="632"/>
      <c r="V33" s="632"/>
      <c r="W33" s="649" t="str">
        <f>IF(外構予算_概算・確定="0","概算","確定")</f>
        <v>確定</v>
      </c>
      <c r="X33" s="650"/>
      <c r="Y33" s="652">
        <f>外構予算_金額</f>
        <v>0</v>
      </c>
      <c r="Z33" s="652"/>
      <c r="AA33" s="652"/>
      <c r="AB33" s="27" t="s">
        <v>2909</v>
      </c>
    </row>
    <row r="34" spans="2:37">
      <c r="B34" s="620" t="s">
        <v>1883</v>
      </c>
      <c r="C34" s="620"/>
      <c r="D34" s="621" t="s">
        <v>2966</v>
      </c>
      <c r="E34" s="621"/>
      <c r="F34" s="622">
        <f>【本契】15_付帯工事無</f>
        <v>34661551</v>
      </c>
      <c r="G34" s="622"/>
      <c r="H34" s="622"/>
      <c r="I34" s="622"/>
      <c r="J34" s="622">
        <f>【本契】付帯無_粗利益額</f>
        <v>7341719</v>
      </c>
      <c r="K34" s="622"/>
      <c r="L34" s="622"/>
      <c r="M34" s="622"/>
      <c r="N34" s="655">
        <f t="shared" si="0"/>
        <v>0.21099999999999999</v>
      </c>
      <c r="O34" s="655"/>
      <c r="P34" s="655"/>
      <c r="T34" s="632" t="s">
        <v>2911</v>
      </c>
      <c r="U34" s="632"/>
      <c r="V34" s="632"/>
      <c r="W34" s="644" t="s">
        <v>2912</v>
      </c>
      <c r="X34" s="644"/>
      <c r="Y34" s="644"/>
      <c r="Z34" s="644"/>
      <c r="AA34" s="645" t="str">
        <f>外構業者</f>
        <v>その他</v>
      </c>
      <c r="AB34" s="645"/>
      <c r="AC34" s="645"/>
      <c r="AD34" s="645"/>
      <c r="AE34" s="645" t="str">
        <f>その他外構業者</f>
        <v>お客様の知り合いにて施工</v>
      </c>
      <c r="AF34" s="645"/>
      <c r="AG34" s="645"/>
      <c r="AH34" s="645"/>
      <c r="AI34" s="645"/>
      <c r="AJ34" s="645"/>
      <c r="AK34" s="645"/>
    </row>
    <row r="35" spans="2:37">
      <c r="B35" s="584"/>
      <c r="C35" s="584"/>
      <c r="D35" s="623" t="s">
        <v>2967</v>
      </c>
      <c r="E35" s="623"/>
      <c r="F35" s="624">
        <f>【本契】契約金額</f>
        <v>36120289</v>
      </c>
      <c r="G35" s="624"/>
      <c r="H35" s="624"/>
      <c r="I35" s="624"/>
      <c r="J35" s="624">
        <f>【本契】粗利益額</f>
        <v>7620967</v>
      </c>
      <c r="K35" s="624"/>
      <c r="L35" s="624"/>
      <c r="M35" s="624"/>
      <c r="N35" s="656">
        <f t="shared" si="0"/>
        <v>0.21</v>
      </c>
      <c r="O35" s="656"/>
      <c r="P35" s="656"/>
      <c r="T35" s="632"/>
      <c r="U35" s="632"/>
      <c r="V35" s="632"/>
      <c r="W35" s="644"/>
      <c r="X35" s="644"/>
      <c r="Y35" s="644"/>
      <c r="Z35" s="644"/>
      <c r="AA35" s="645"/>
      <c r="AB35" s="645"/>
      <c r="AC35" s="645"/>
      <c r="AD35" s="645"/>
      <c r="AE35" s="645"/>
      <c r="AF35" s="645"/>
      <c r="AG35" s="645"/>
      <c r="AH35" s="645"/>
      <c r="AI35" s="645"/>
      <c r="AJ35" s="645"/>
      <c r="AK35" s="645"/>
    </row>
    <row r="36" spans="2:37">
      <c r="B36" s="584" t="s">
        <v>2969</v>
      </c>
      <c r="C36" s="584"/>
      <c r="D36" s="584"/>
      <c r="E36" s="584"/>
      <c r="F36" s="611">
        <f>請負金額_税込</f>
        <v>39732317</v>
      </c>
      <c r="G36" s="612"/>
      <c r="H36" s="612"/>
      <c r="I36" s="613"/>
      <c r="J36" s="584" t="s">
        <v>2971</v>
      </c>
      <c r="K36" s="584"/>
      <c r="L36" s="654">
        <f>消費税率/100</f>
        <v>0.1</v>
      </c>
      <c r="M36" s="654"/>
      <c r="T36" s="566" t="s">
        <v>2910</v>
      </c>
      <c r="U36" s="567"/>
      <c r="V36" s="568"/>
    </row>
    <row r="37" spans="2:37" ht="21" customHeight="1">
      <c r="B37" s="584" t="s">
        <v>2970</v>
      </c>
      <c r="C37" s="584"/>
      <c r="D37" s="584"/>
      <c r="E37" s="584"/>
      <c r="F37" s="614">
        <f>ROUNDUP(F36/(1+L36),0)</f>
        <v>36120289</v>
      </c>
      <c r="G37" s="615"/>
      <c r="H37" s="615"/>
      <c r="I37" s="616"/>
      <c r="T37" s="646" t="str">
        <f>外構の要望や好み</f>
        <v/>
      </c>
      <c r="U37" s="646"/>
      <c r="V37" s="646"/>
      <c r="W37" s="646"/>
      <c r="X37" s="646"/>
      <c r="Y37" s="646"/>
      <c r="Z37" s="646"/>
      <c r="AA37" s="646"/>
      <c r="AB37" s="646"/>
      <c r="AC37" s="646"/>
      <c r="AD37" s="646"/>
      <c r="AE37" s="646"/>
      <c r="AF37" s="646"/>
      <c r="AG37" s="646"/>
      <c r="AH37" s="646"/>
      <c r="AI37" s="646"/>
      <c r="AJ37" s="646"/>
      <c r="AK37" s="646"/>
    </row>
    <row r="38" spans="2:37">
      <c r="B38" s="586" t="s">
        <v>2861</v>
      </c>
      <c r="C38" s="586"/>
      <c r="D38" s="586"/>
      <c r="T38" s="646"/>
      <c r="U38" s="646"/>
      <c r="V38" s="646"/>
      <c r="W38" s="646"/>
      <c r="X38" s="646"/>
      <c r="Y38" s="646"/>
      <c r="Z38" s="646"/>
      <c r="AA38" s="646"/>
      <c r="AB38" s="646"/>
      <c r="AC38" s="646"/>
      <c r="AD38" s="646"/>
      <c r="AE38" s="646"/>
      <c r="AF38" s="646"/>
      <c r="AG38" s="646"/>
      <c r="AH38" s="646"/>
      <c r="AI38" s="646"/>
      <c r="AJ38" s="646"/>
      <c r="AK38" s="646"/>
    </row>
    <row r="39" spans="2:37">
      <c r="B39" s="584" t="s">
        <v>2972</v>
      </c>
      <c r="C39" s="584"/>
      <c r="D39" s="599" t="str">
        <f>JSONデータ!O3</f>
        <v>自己資金</v>
      </c>
      <c r="E39" s="600"/>
      <c r="F39" s="601"/>
      <c r="G39" s="602">
        <f>JSONデータ!P3</f>
        <v>500000</v>
      </c>
      <c r="H39" s="602"/>
      <c r="I39" s="602"/>
      <c r="J39" s="602"/>
      <c r="K39" s="603" t="str">
        <f>IF(JSONデータ!Q3="",JSONデータ!R3,JSONデータ!Q3)</f>
        <v>設計契約時</v>
      </c>
      <c r="L39" s="603"/>
      <c r="M39" s="603"/>
      <c r="N39" s="604" t="str">
        <f>JSONデータ!S3</f>
        <v>支払済</v>
      </c>
      <c r="O39" s="604"/>
      <c r="P39" s="604"/>
      <c r="T39" s="646"/>
      <c r="U39" s="646"/>
      <c r="V39" s="646"/>
      <c r="W39" s="646"/>
      <c r="X39" s="646"/>
      <c r="Y39" s="646"/>
      <c r="Z39" s="646"/>
      <c r="AA39" s="646"/>
      <c r="AB39" s="646"/>
      <c r="AC39" s="646"/>
      <c r="AD39" s="646"/>
      <c r="AE39" s="646"/>
      <c r="AF39" s="646"/>
      <c r="AG39" s="646"/>
      <c r="AH39" s="646"/>
      <c r="AI39" s="646"/>
      <c r="AJ39" s="646"/>
      <c r="AK39" s="646"/>
    </row>
    <row r="40" spans="2:37">
      <c r="B40" s="584"/>
      <c r="C40" s="584"/>
      <c r="D40" s="605" t="str">
        <f>JSONデータ!O4</f>
        <v>自己資金</v>
      </c>
      <c r="E40" s="606"/>
      <c r="F40" s="607"/>
      <c r="G40" s="608">
        <f>JSONデータ!P4</f>
        <v>500000</v>
      </c>
      <c r="H40" s="608"/>
      <c r="I40" s="608"/>
      <c r="J40" s="608"/>
      <c r="K40" s="609" t="str">
        <f>IF(JSONデータ!Q4="",JSONデータ!R4,JSONデータ!Q4)</f>
        <v>契約時</v>
      </c>
      <c r="L40" s="609"/>
      <c r="M40" s="609"/>
      <c r="N40" s="610" t="str">
        <f>JSONデータ!S4</f>
        <v>支払予定</v>
      </c>
      <c r="O40" s="610"/>
      <c r="P40" s="610"/>
      <c r="T40" s="632" t="s">
        <v>2914</v>
      </c>
      <c r="U40" s="632"/>
      <c r="V40" s="643" t="str">
        <f>IF(セットバック_有無="0","無し","有り")</f>
        <v>無し</v>
      </c>
      <c r="W40" s="643"/>
      <c r="X40" s="632" t="s">
        <v>2915</v>
      </c>
      <c r="Y40" s="632"/>
      <c r="Z40" s="643" t="str">
        <f>IF(緑化計画_有無="0","無し","有り")</f>
        <v>無し</v>
      </c>
      <c r="AA40" s="643"/>
      <c r="AB40" s="632" t="s">
        <v>2916</v>
      </c>
      <c r="AC40" s="632"/>
      <c r="AD40" s="632"/>
      <c r="AE40" s="643" t="str">
        <f>IF(道路斜面緩和_有無="0","無し","有り")</f>
        <v>無し</v>
      </c>
      <c r="AF40" s="643"/>
      <c r="AG40" s="632" t="s">
        <v>2917</v>
      </c>
      <c r="AH40" s="632"/>
      <c r="AI40" s="632"/>
      <c r="AJ40" s="643" t="str">
        <f>IF(小運搬の必要性_有無="0","無し","有り")</f>
        <v>無し</v>
      </c>
      <c r="AK40" s="643"/>
    </row>
    <row r="41" spans="2:37">
      <c r="B41" s="584" t="s">
        <v>2973</v>
      </c>
      <c r="C41" s="584"/>
      <c r="D41" s="599" t="str">
        <f>JSONデータ!O5</f>
        <v>銀行ローン</v>
      </c>
      <c r="E41" s="600"/>
      <c r="F41" s="601"/>
      <c r="G41" s="602">
        <f>JSONデータ!P5</f>
        <v>13000000</v>
      </c>
      <c r="H41" s="602"/>
      <c r="I41" s="602"/>
      <c r="J41" s="602"/>
      <c r="K41" s="603" t="str">
        <f>IF(JSONデータ!Q5="",JSONデータ!R5,JSONデータ!Q5)</f>
        <v>着工時</v>
      </c>
      <c r="L41" s="603"/>
      <c r="M41" s="603"/>
      <c r="N41" s="604" t="str">
        <f>JSONデータ!S5</f>
        <v>支払予定</v>
      </c>
      <c r="O41" s="604"/>
      <c r="P41" s="604"/>
      <c r="T41" s="648" t="s">
        <v>2913</v>
      </c>
      <c r="U41" s="648"/>
      <c r="V41" s="648"/>
      <c r="W41" s="648"/>
      <c r="X41" s="648"/>
    </row>
    <row r="42" spans="2:37">
      <c r="B42" s="584"/>
      <c r="C42" s="584"/>
      <c r="D42" s="605">
        <f>JSONデータ!O6</f>
        <v>0</v>
      </c>
      <c r="E42" s="606"/>
      <c r="F42" s="607"/>
      <c r="G42" s="608">
        <f>JSONデータ!P6</f>
        <v>0</v>
      </c>
      <c r="H42" s="608"/>
      <c r="I42" s="608"/>
      <c r="J42" s="608"/>
      <c r="K42" s="609">
        <f>IF(JSONデータ!Q6="",JSONデータ!R6,JSONデータ!Q6)</f>
        <v>0</v>
      </c>
      <c r="L42" s="609"/>
      <c r="M42" s="609"/>
      <c r="N42" s="610">
        <f>JSONデータ!S6</f>
        <v>0</v>
      </c>
      <c r="O42" s="610"/>
      <c r="P42" s="610"/>
      <c r="T42" s="646" t="str">
        <f>壁面後退や控え壁についての条件</f>
        <v/>
      </c>
      <c r="U42" s="646"/>
      <c r="V42" s="646"/>
      <c r="W42" s="646"/>
      <c r="X42" s="646"/>
      <c r="Y42" s="646"/>
      <c r="Z42" s="646"/>
      <c r="AA42" s="646"/>
      <c r="AB42" s="646"/>
      <c r="AC42" s="646"/>
      <c r="AD42" s="646"/>
      <c r="AE42" s="646"/>
      <c r="AF42" s="646"/>
      <c r="AG42" s="646"/>
      <c r="AH42" s="646"/>
      <c r="AI42" s="646"/>
      <c r="AJ42" s="646"/>
      <c r="AK42" s="646"/>
    </row>
    <row r="43" spans="2:37">
      <c r="B43" s="584" t="s">
        <v>2974</v>
      </c>
      <c r="C43" s="584"/>
      <c r="D43" s="599" t="str">
        <f>JSONデータ!O7</f>
        <v>銀行ローン</v>
      </c>
      <c r="E43" s="600"/>
      <c r="F43" s="601"/>
      <c r="G43" s="602">
        <f>JSONデータ!P7</f>
        <v>13000000</v>
      </c>
      <c r="H43" s="602"/>
      <c r="I43" s="602"/>
      <c r="J43" s="602"/>
      <c r="K43" s="603" t="str">
        <f>IF(JSONデータ!Q7="",JSONデータ!R7,JSONデータ!Q7)</f>
        <v>上棟時</v>
      </c>
      <c r="L43" s="603"/>
      <c r="M43" s="603"/>
      <c r="N43" s="604" t="str">
        <f>JSONデータ!S7</f>
        <v>支払予定</v>
      </c>
      <c r="O43" s="604"/>
      <c r="P43" s="604"/>
      <c r="T43" s="646"/>
      <c r="U43" s="646"/>
      <c r="V43" s="646"/>
      <c r="W43" s="646"/>
      <c r="X43" s="646"/>
      <c r="Y43" s="646"/>
      <c r="Z43" s="646"/>
      <c r="AA43" s="646"/>
      <c r="AB43" s="646"/>
      <c r="AC43" s="646"/>
      <c r="AD43" s="646"/>
      <c r="AE43" s="646"/>
      <c r="AF43" s="646"/>
      <c r="AG43" s="646"/>
      <c r="AH43" s="646"/>
      <c r="AI43" s="646"/>
      <c r="AJ43" s="646"/>
      <c r="AK43" s="646"/>
    </row>
    <row r="44" spans="2:37">
      <c r="B44" s="584"/>
      <c r="C44" s="584"/>
      <c r="D44" s="605">
        <f>JSONデータ!O8</f>
        <v>0</v>
      </c>
      <c r="E44" s="606"/>
      <c r="F44" s="607"/>
      <c r="G44" s="608">
        <f>JSONデータ!P8</f>
        <v>0</v>
      </c>
      <c r="H44" s="608"/>
      <c r="I44" s="608"/>
      <c r="J44" s="608"/>
      <c r="K44" s="609">
        <f>IF(JSONデータ!Q8="",JSONデータ!R8,JSONデータ!Q8)</f>
        <v>0</v>
      </c>
      <c r="L44" s="609"/>
      <c r="M44" s="609"/>
      <c r="N44" s="610">
        <f>JSONデータ!S8</f>
        <v>0</v>
      </c>
      <c r="O44" s="610"/>
      <c r="P44" s="610"/>
      <c r="T44" s="646"/>
      <c r="U44" s="646"/>
      <c r="V44" s="646"/>
      <c r="W44" s="646"/>
      <c r="X44" s="646"/>
      <c r="Y44" s="646"/>
      <c r="Z44" s="646"/>
      <c r="AA44" s="646"/>
      <c r="AB44" s="646"/>
      <c r="AC44" s="646"/>
      <c r="AD44" s="646"/>
      <c r="AE44" s="646"/>
      <c r="AF44" s="646"/>
      <c r="AG44" s="646"/>
      <c r="AH44" s="646"/>
      <c r="AI44" s="646"/>
      <c r="AJ44" s="646"/>
      <c r="AK44" s="646"/>
    </row>
    <row r="45" spans="2:37">
      <c r="B45" s="584" t="s">
        <v>2975</v>
      </c>
      <c r="C45" s="584"/>
      <c r="D45" s="599" t="str">
        <f>JSONデータ!O9</f>
        <v>銀行ローン</v>
      </c>
      <c r="E45" s="600"/>
      <c r="F45" s="601"/>
      <c r="G45" s="602">
        <f>JSONデータ!P9</f>
        <v>10000000</v>
      </c>
      <c r="H45" s="602"/>
      <c r="I45" s="602"/>
      <c r="J45" s="602"/>
      <c r="K45" s="603" t="str">
        <f>IF(JSONデータ!Q9="",JSONデータ!R9,JSONデータ!Q9)</f>
        <v>引き渡し時</v>
      </c>
      <c r="L45" s="603"/>
      <c r="M45" s="603"/>
      <c r="N45" s="604" t="str">
        <f>JSONデータ!S9</f>
        <v>支払予定</v>
      </c>
      <c r="O45" s="604"/>
      <c r="P45" s="604"/>
      <c r="T45" s="565" t="s">
        <v>2918</v>
      </c>
      <c r="U45" s="565"/>
      <c r="V45" s="565"/>
      <c r="W45" s="565"/>
    </row>
    <row r="46" spans="2:37" ht="21" customHeight="1">
      <c r="B46" s="584"/>
      <c r="C46" s="584"/>
      <c r="D46" s="605" t="str">
        <f>JSONデータ!O10</f>
        <v>自己資金</v>
      </c>
      <c r="E46" s="606"/>
      <c r="F46" s="607"/>
      <c r="G46" s="608">
        <f>JSONデータ!P10</f>
        <v>2732317</v>
      </c>
      <c r="H46" s="608"/>
      <c r="I46" s="608"/>
      <c r="J46" s="608"/>
      <c r="K46" s="609" t="str">
        <f>IF(JSONデータ!Q10="",JSONデータ!R10,JSONデータ!Q10)</f>
        <v>引き渡し時</v>
      </c>
      <c r="L46" s="609"/>
      <c r="M46" s="609"/>
      <c r="N46" s="610" t="str">
        <f>JSONデータ!S10</f>
        <v>支払予定</v>
      </c>
      <c r="O46" s="610"/>
      <c r="P46" s="610"/>
      <c r="T46" s="647" t="str">
        <f>営業からの引継事項</f>
        <v>戸井田さんのユーザー05A3AERNT 小室智弘・松上直矢様邸のお知り合い_x000D_
入り口は展示場来場だったが、会話の中で繋がりがあり、後押しを頂きました。_x000D_
_x000D_
初回パートの武藤さんが接客し、アポイントにつなげたお客様です。_x000D_
着工後、ワークフロー申請にて歩合申請させて頂きます。</v>
      </c>
      <c r="U46" s="647"/>
      <c r="V46" s="647"/>
      <c r="W46" s="647"/>
      <c r="X46" s="647"/>
      <c r="Y46" s="647"/>
      <c r="Z46" s="647"/>
      <c r="AA46" s="647"/>
      <c r="AB46" s="647"/>
      <c r="AC46" s="647"/>
      <c r="AD46" s="647"/>
      <c r="AE46" s="647"/>
      <c r="AF46" s="647"/>
      <c r="AG46" s="647"/>
      <c r="AH46" s="647"/>
      <c r="AI46" s="647"/>
      <c r="AJ46" s="647"/>
      <c r="AK46" s="647"/>
    </row>
    <row r="47" spans="2:37">
      <c r="B47" s="597" t="s">
        <v>2977</v>
      </c>
      <c r="C47" s="597"/>
      <c r="D47" s="597"/>
      <c r="E47" s="597"/>
      <c r="F47" s="597"/>
      <c r="G47" s="596">
        <f>SUM(G39:J46)</f>
        <v>39732317</v>
      </c>
      <c r="H47" s="596"/>
      <c r="I47" s="596"/>
      <c r="J47" s="596"/>
      <c r="T47" s="647"/>
      <c r="U47" s="647"/>
      <c r="V47" s="647"/>
      <c r="W47" s="647"/>
      <c r="X47" s="647"/>
      <c r="Y47" s="647"/>
      <c r="Z47" s="647"/>
      <c r="AA47" s="647"/>
      <c r="AB47" s="647"/>
      <c r="AC47" s="647"/>
      <c r="AD47" s="647"/>
      <c r="AE47" s="647"/>
      <c r="AF47" s="647"/>
      <c r="AG47" s="647"/>
      <c r="AH47" s="647"/>
      <c r="AI47" s="647"/>
      <c r="AJ47" s="647"/>
      <c r="AK47" s="647"/>
    </row>
    <row r="48" spans="2:37">
      <c r="B48" s="597" t="s">
        <v>2976</v>
      </c>
      <c r="C48" s="597"/>
      <c r="D48" s="597"/>
      <c r="E48" s="597"/>
      <c r="F48" s="597"/>
      <c r="G48" s="598">
        <f>F36-G47</f>
        <v>0</v>
      </c>
      <c r="H48" s="598"/>
      <c r="I48" s="598"/>
      <c r="J48" s="598"/>
      <c r="K48" s="591" t="s">
        <v>2862</v>
      </c>
      <c r="L48" s="592"/>
      <c r="M48" s="592"/>
      <c r="N48" s="592"/>
      <c r="O48" s="592"/>
      <c r="P48" s="593"/>
      <c r="T48" s="647"/>
      <c r="U48" s="647"/>
      <c r="V48" s="647"/>
      <c r="W48" s="647"/>
      <c r="X48" s="647"/>
      <c r="Y48" s="647"/>
      <c r="Z48" s="647"/>
      <c r="AA48" s="647"/>
      <c r="AB48" s="647"/>
      <c r="AC48" s="647"/>
      <c r="AD48" s="647"/>
      <c r="AE48" s="647"/>
      <c r="AF48" s="647"/>
      <c r="AG48" s="647"/>
      <c r="AH48" s="647"/>
      <c r="AI48" s="647"/>
      <c r="AJ48" s="647"/>
      <c r="AK48" s="647"/>
    </row>
    <row r="49" spans="2:37">
      <c r="B49" s="594" t="s">
        <v>2863</v>
      </c>
      <c r="C49" s="594"/>
      <c r="D49" s="594"/>
      <c r="E49" s="594"/>
      <c r="F49" s="594"/>
      <c r="G49" s="576" t="str">
        <f>マニュアル外差異理由</f>
        <v/>
      </c>
      <c r="H49" s="576"/>
      <c r="I49" s="576"/>
      <c r="J49" s="576"/>
      <c r="K49" s="576"/>
      <c r="L49" s="576"/>
      <c r="M49" s="576"/>
      <c r="N49" s="576"/>
      <c r="O49" s="576"/>
      <c r="P49" s="576"/>
      <c r="T49" s="565" t="s">
        <v>3000</v>
      </c>
      <c r="U49" s="565"/>
      <c r="V49" s="573" t="s">
        <v>2996</v>
      </c>
      <c r="W49" s="573"/>
      <c r="X49" s="573"/>
      <c r="Y49" s="573" t="s">
        <v>2997</v>
      </c>
      <c r="Z49" s="573"/>
      <c r="AA49" s="573"/>
      <c r="AB49" s="573" t="s">
        <v>2998</v>
      </c>
      <c r="AC49" s="573"/>
      <c r="AD49" s="573"/>
      <c r="AE49" s="573"/>
      <c r="AF49" s="573"/>
      <c r="AG49" s="573"/>
      <c r="AH49" s="573"/>
      <c r="AI49" s="573"/>
      <c r="AJ49" s="573"/>
      <c r="AK49" s="573"/>
    </row>
    <row r="50" spans="2:37">
      <c r="B50" s="587" t="s">
        <v>2864</v>
      </c>
      <c r="C50" s="587"/>
      <c r="D50" s="587"/>
      <c r="E50" s="587"/>
      <c r="F50" s="587"/>
      <c r="T50" s="635" t="s">
        <v>2919</v>
      </c>
      <c r="U50" s="635"/>
      <c r="V50" s="636" t="str">
        <f>姓2&amp;" " &amp;名2</f>
        <v xml:space="preserve"> </v>
      </c>
      <c r="W50" s="636"/>
      <c r="X50" s="636"/>
      <c r="Y50" s="636" t="str">
        <f>郵便番号2</f>
        <v/>
      </c>
      <c r="Z50" s="636"/>
      <c r="AA50" s="636"/>
      <c r="AB50" s="636" t="str">
        <f>現住所2</f>
        <v/>
      </c>
      <c r="AC50" s="636"/>
      <c r="AD50" s="636"/>
      <c r="AE50" s="636"/>
      <c r="AF50" s="636"/>
      <c r="AG50" s="636"/>
      <c r="AH50" s="636"/>
      <c r="AI50" s="636"/>
      <c r="AJ50" s="636"/>
      <c r="AK50" s="636"/>
    </row>
    <row r="51" spans="2:37">
      <c r="B51" s="595" t="str">
        <f>サービス_値引き等の内容・理由</f>
        <v>特別協力①タカラスタンダードオフェリア　キッチン、カップボードサービス778,900円_x000D_
特別協力②パワーボード⇒サイディング価格サービス　469,422円_x000D_
特別協力③アイカ洗面化粧台サービス　486,000円</v>
      </c>
      <c r="C51" s="595"/>
      <c r="D51" s="595"/>
      <c r="E51" s="595"/>
      <c r="F51" s="595"/>
      <c r="G51" s="595"/>
      <c r="H51" s="595"/>
      <c r="I51" s="595"/>
      <c r="J51" s="595"/>
      <c r="K51" s="595"/>
      <c r="L51" s="595"/>
      <c r="M51" s="595"/>
      <c r="N51" s="595"/>
      <c r="O51" s="595"/>
      <c r="P51" s="595"/>
      <c r="T51" s="635" t="s">
        <v>2920</v>
      </c>
      <c r="U51" s="635"/>
      <c r="V51" s="636" t="str">
        <f>姓3&amp;" " &amp;名3</f>
        <v xml:space="preserve"> </v>
      </c>
      <c r="W51" s="636"/>
      <c r="X51" s="636"/>
      <c r="Y51" s="636" t="str">
        <f>郵便番号3</f>
        <v/>
      </c>
      <c r="Z51" s="636"/>
      <c r="AA51" s="636"/>
      <c r="AB51" s="636" t="str">
        <f>現住所3</f>
        <v/>
      </c>
      <c r="AC51" s="636"/>
      <c r="AD51" s="636"/>
      <c r="AE51" s="636"/>
      <c r="AF51" s="636"/>
      <c r="AG51" s="636"/>
      <c r="AH51" s="636"/>
      <c r="AI51" s="636"/>
      <c r="AJ51" s="636"/>
      <c r="AK51" s="636"/>
    </row>
    <row r="52" spans="2:37">
      <c r="B52" s="595"/>
      <c r="C52" s="595"/>
      <c r="D52" s="595"/>
      <c r="E52" s="595"/>
      <c r="F52" s="595"/>
      <c r="G52" s="595"/>
      <c r="H52" s="595"/>
      <c r="I52" s="595"/>
      <c r="J52" s="595"/>
      <c r="K52" s="595"/>
      <c r="L52" s="595"/>
      <c r="M52" s="595"/>
      <c r="N52" s="595"/>
      <c r="O52" s="595"/>
      <c r="P52" s="595"/>
      <c r="T52" s="32" t="s">
        <v>2921</v>
      </c>
      <c r="U52" s="32"/>
      <c r="V52" s="32"/>
      <c r="W52" s="32"/>
      <c r="X52" s="32"/>
      <c r="Y52" s="32"/>
    </row>
    <row r="53" spans="2:37">
      <c r="B53" s="587" t="s">
        <v>2865</v>
      </c>
      <c r="C53" s="587"/>
      <c r="D53" s="587"/>
      <c r="E53" s="587"/>
      <c r="F53" s="587"/>
      <c r="T53" s="632" t="s">
        <v>2922</v>
      </c>
      <c r="U53" s="632"/>
      <c r="V53" s="642" t="str">
        <f>_xlfn.XLOOKUP(紹介の種類,紹介種類一覧[ID],紹介種類一覧[紹介種類],"",0)</f>
        <v>ユーザー</v>
      </c>
      <c r="W53" s="642"/>
      <c r="X53" s="642"/>
      <c r="Z53" s="586" t="s">
        <v>2866</v>
      </c>
      <c r="AA53" s="586"/>
      <c r="AB53" s="586"/>
      <c r="AC53" s="90"/>
      <c r="AD53" s="90"/>
      <c r="AE53" s="90"/>
      <c r="AF53" s="90"/>
      <c r="AG53" s="90"/>
      <c r="AH53" s="90"/>
      <c r="AI53" s="90"/>
      <c r="AJ53" s="90"/>
      <c r="AK53" s="90"/>
    </row>
    <row r="54" spans="2:37">
      <c r="B54" s="576" t="str">
        <f>その他</f>
        <v>エネカリプラス利用（太陽光パネル、蓄電池）</v>
      </c>
      <c r="C54" s="576"/>
      <c r="D54" s="576"/>
      <c r="E54" s="576"/>
      <c r="F54" s="576"/>
      <c r="G54" s="576"/>
      <c r="H54" s="576"/>
      <c r="I54" s="576"/>
      <c r="J54" s="576"/>
      <c r="K54" s="576"/>
      <c r="L54" s="576"/>
      <c r="M54" s="576"/>
      <c r="N54" s="576"/>
      <c r="O54" s="576"/>
      <c r="P54" s="576"/>
      <c r="T54" s="632" t="s">
        <v>2923</v>
      </c>
      <c r="U54" s="632"/>
      <c r="V54" s="641" t="str">
        <f>紹介者</f>
        <v>05A3AERNT 小室智弘・松上直矢様邸</v>
      </c>
      <c r="W54" s="641"/>
      <c r="X54" s="641"/>
      <c r="Z54" s="659" t="s">
        <v>2867</v>
      </c>
      <c r="AA54" s="660"/>
      <c r="AB54" s="637" t="str">
        <f>_xlfn.XLOOKUP(建物保証,建物保証一覧[ID],建物保証一覧[建物保証],"",0)</f>
        <v>ハウスジーメン、地盤保証、ベストバリューホーム</v>
      </c>
      <c r="AC54" s="638"/>
      <c r="AD54" s="638"/>
      <c r="AE54" s="638"/>
      <c r="AF54" s="638"/>
      <c r="AG54" s="638"/>
      <c r="AH54" s="638"/>
      <c r="AI54" s="638"/>
      <c r="AJ54" s="638"/>
      <c r="AK54" s="639"/>
    </row>
    <row r="55" spans="2:37">
      <c r="B55" s="576"/>
      <c r="C55" s="576"/>
      <c r="D55" s="576"/>
      <c r="E55" s="576"/>
      <c r="F55" s="576"/>
      <c r="G55" s="576"/>
      <c r="H55" s="576"/>
      <c r="I55" s="576"/>
      <c r="J55" s="576"/>
      <c r="K55" s="576"/>
      <c r="L55" s="576"/>
      <c r="M55" s="576"/>
      <c r="N55" s="576"/>
      <c r="O55" s="576"/>
      <c r="P55" s="576"/>
      <c r="T55" s="632" t="s">
        <v>2924</v>
      </c>
      <c r="U55" s="632"/>
      <c r="V55" s="640">
        <f>紹介料</f>
        <v>100000</v>
      </c>
      <c r="W55" s="640"/>
      <c r="X55" s="640"/>
      <c r="Y55" s="32"/>
      <c r="Z55" s="659" t="s">
        <v>2868</v>
      </c>
      <c r="AA55" s="660"/>
      <c r="AB55" s="637" t="str">
        <f>_xlfn.XLOOKUP(保証年数,保証年数一覧[ID],保証年数一覧[保証年数],"",0)</f>
        <v>30年</v>
      </c>
      <c r="AC55" s="638"/>
      <c r="AD55" s="639"/>
      <c r="AE55" s="659" t="s">
        <v>2869</v>
      </c>
      <c r="AF55" s="661"/>
      <c r="AG55" s="660"/>
      <c r="AH55" s="637" t="str">
        <f>_xlfn.XLOOKUP(瑕疵保険限度額,瑕疵保険限度額一覧[ID],瑕疵保険限度額一覧[限度額],"",0)</f>
        <v>2000万円</v>
      </c>
      <c r="AI55" s="638"/>
      <c r="AJ55" s="638"/>
      <c r="AK55" s="639"/>
    </row>
  </sheetData>
  <mergeCells count="356">
    <mergeCell ref="L2:M2"/>
    <mergeCell ref="N2:P2"/>
    <mergeCell ref="L3:M3"/>
    <mergeCell ref="N3:P3"/>
    <mergeCell ref="B19:C19"/>
    <mergeCell ref="B20:C20"/>
    <mergeCell ref="B26:D26"/>
    <mergeCell ref="L24:M24"/>
    <mergeCell ref="N24:P24"/>
    <mergeCell ref="B5:C5"/>
    <mergeCell ref="D5:F5"/>
    <mergeCell ref="G5:H5"/>
    <mergeCell ref="I5:K5"/>
    <mergeCell ref="L5:M5"/>
    <mergeCell ref="N5:P5"/>
    <mergeCell ref="B8:C8"/>
    <mergeCell ref="D8:P8"/>
    <mergeCell ref="B9:C9"/>
    <mergeCell ref="I9:J9"/>
    <mergeCell ref="D9:H9"/>
    <mergeCell ref="K9:P9"/>
    <mergeCell ref="D6:F6"/>
    <mergeCell ref="G6:H6"/>
    <mergeCell ref="I6:K6"/>
    <mergeCell ref="B38:D38"/>
    <mergeCell ref="B39:C40"/>
    <mergeCell ref="B41:C42"/>
    <mergeCell ref="Z54:AA54"/>
    <mergeCell ref="Z55:AA55"/>
    <mergeCell ref="B53:F53"/>
    <mergeCell ref="AE55:AG55"/>
    <mergeCell ref="AB55:AD55"/>
    <mergeCell ref="AI23:AK23"/>
    <mergeCell ref="T24:V24"/>
    <mergeCell ref="AI24:AK24"/>
    <mergeCell ref="AG24:AH24"/>
    <mergeCell ref="W24:AF24"/>
    <mergeCell ref="T25:V25"/>
    <mergeCell ref="W23:X23"/>
    <mergeCell ref="Y23:Z23"/>
    <mergeCell ref="AA23:AB23"/>
    <mergeCell ref="AC23:AD23"/>
    <mergeCell ref="AE23:AF23"/>
    <mergeCell ref="AF27:AG27"/>
    <mergeCell ref="AH27:AJ27"/>
    <mergeCell ref="T28:V28"/>
    <mergeCell ref="W28:Y28"/>
    <mergeCell ref="AA28:AB28"/>
    <mergeCell ref="B4:D4"/>
    <mergeCell ref="B6:C6"/>
    <mergeCell ref="B36:E36"/>
    <mergeCell ref="L36:M36"/>
    <mergeCell ref="N34:P34"/>
    <mergeCell ref="J35:M35"/>
    <mergeCell ref="N35:P35"/>
    <mergeCell ref="D33:E33"/>
    <mergeCell ref="D32:E32"/>
    <mergeCell ref="B21:D21"/>
    <mergeCell ref="L6:M6"/>
    <mergeCell ref="N6:P6"/>
    <mergeCell ref="B7:C7"/>
    <mergeCell ref="D7:P7"/>
    <mergeCell ref="I11:K11"/>
    <mergeCell ref="N11:P11"/>
    <mergeCell ref="D11:F11"/>
    <mergeCell ref="B11:C11"/>
    <mergeCell ref="G11:H11"/>
    <mergeCell ref="L11:M11"/>
    <mergeCell ref="D10:F10"/>
    <mergeCell ref="G10:H10"/>
    <mergeCell ref="I10:K10"/>
    <mergeCell ref="L10:M10"/>
    <mergeCell ref="W27:X27"/>
    <mergeCell ref="Y27:AA27"/>
    <mergeCell ref="AC27:AE27"/>
    <mergeCell ref="AD30:AF30"/>
    <mergeCell ref="AC28:AD28"/>
    <mergeCell ref="AE28:AF28"/>
    <mergeCell ref="AG28:AK28"/>
    <mergeCell ref="T26:V26"/>
    <mergeCell ref="W26:X26"/>
    <mergeCell ref="Y26:AA26"/>
    <mergeCell ref="AC26:AE26"/>
    <mergeCell ref="AF26:AG26"/>
    <mergeCell ref="AH26:AJ26"/>
    <mergeCell ref="W32:X32"/>
    <mergeCell ref="Y32:AB32"/>
    <mergeCell ref="T33:V33"/>
    <mergeCell ref="W33:X33"/>
    <mergeCell ref="Y33:AA33"/>
    <mergeCell ref="W30:X30"/>
    <mergeCell ref="Y30:AB30"/>
    <mergeCell ref="T31:V31"/>
    <mergeCell ref="W31:X31"/>
    <mergeCell ref="Y31:AB31"/>
    <mergeCell ref="AE40:AF40"/>
    <mergeCell ref="AG40:AI40"/>
    <mergeCell ref="AJ40:AK40"/>
    <mergeCell ref="T34:V35"/>
    <mergeCell ref="W34:Z35"/>
    <mergeCell ref="AA34:AD35"/>
    <mergeCell ref="AE34:AK35"/>
    <mergeCell ref="Y50:AA50"/>
    <mergeCell ref="AB50:AK50"/>
    <mergeCell ref="T50:U50"/>
    <mergeCell ref="V50:X50"/>
    <mergeCell ref="T37:AK39"/>
    <mergeCell ref="T42:AK44"/>
    <mergeCell ref="T46:AK48"/>
    <mergeCell ref="T41:X41"/>
    <mergeCell ref="T40:U40"/>
    <mergeCell ref="V40:W40"/>
    <mergeCell ref="X40:Y40"/>
    <mergeCell ref="Z40:AA40"/>
    <mergeCell ref="AB40:AD40"/>
    <mergeCell ref="T51:U51"/>
    <mergeCell ref="V51:X51"/>
    <mergeCell ref="Y51:AA51"/>
    <mergeCell ref="AB51:AK51"/>
    <mergeCell ref="AH55:AK55"/>
    <mergeCell ref="AB54:AK54"/>
    <mergeCell ref="Z53:AB53"/>
    <mergeCell ref="B54:P55"/>
    <mergeCell ref="T55:U55"/>
    <mergeCell ref="V55:X55"/>
    <mergeCell ref="T54:U54"/>
    <mergeCell ref="V54:X54"/>
    <mergeCell ref="T53:U53"/>
    <mergeCell ref="V53:X53"/>
    <mergeCell ref="N10:P10"/>
    <mergeCell ref="B10:C10"/>
    <mergeCell ref="N12:P12"/>
    <mergeCell ref="B15:C16"/>
    <mergeCell ref="L15:M15"/>
    <mergeCell ref="N15:P15"/>
    <mergeCell ref="L16:M16"/>
    <mergeCell ref="N16:P16"/>
    <mergeCell ref="D15:K15"/>
    <mergeCell ref="D16:K16"/>
    <mergeCell ref="B14:D14"/>
    <mergeCell ref="B12:C12"/>
    <mergeCell ref="D12:F12"/>
    <mergeCell ref="G12:H12"/>
    <mergeCell ref="I12:K12"/>
    <mergeCell ref="L12:M12"/>
    <mergeCell ref="L13:M13"/>
    <mergeCell ref="G13:H13"/>
    <mergeCell ref="B13:C13"/>
    <mergeCell ref="D13:F13"/>
    <mergeCell ref="I13:K13"/>
    <mergeCell ref="N13:P13"/>
    <mergeCell ref="L18:M18"/>
    <mergeCell ref="N18:P18"/>
    <mergeCell ref="L17:M17"/>
    <mergeCell ref="N17:P17"/>
    <mergeCell ref="D19:F19"/>
    <mergeCell ref="D20:F20"/>
    <mergeCell ref="G19:P19"/>
    <mergeCell ref="G20:P20"/>
    <mergeCell ref="B17:C17"/>
    <mergeCell ref="D17:F17"/>
    <mergeCell ref="G17:H17"/>
    <mergeCell ref="I17:K17"/>
    <mergeCell ref="B18:C18"/>
    <mergeCell ref="D18:K18"/>
    <mergeCell ref="L25:M25"/>
    <mergeCell ref="N25:P25"/>
    <mergeCell ref="D22:K22"/>
    <mergeCell ref="D23:K23"/>
    <mergeCell ref="D25:K25"/>
    <mergeCell ref="N22:P22"/>
    <mergeCell ref="N23:P23"/>
    <mergeCell ref="B24:C24"/>
    <mergeCell ref="D24:F24"/>
    <mergeCell ref="G24:H24"/>
    <mergeCell ref="I24:K24"/>
    <mergeCell ref="B22:C22"/>
    <mergeCell ref="B23:C23"/>
    <mergeCell ref="L22:M22"/>
    <mergeCell ref="L23:M23"/>
    <mergeCell ref="B28:C28"/>
    <mergeCell ref="D28:F28"/>
    <mergeCell ref="B29:C29"/>
    <mergeCell ref="D29:F29"/>
    <mergeCell ref="B27:C27"/>
    <mergeCell ref="D27:F27"/>
    <mergeCell ref="G27:H27"/>
    <mergeCell ref="I27:K27"/>
    <mergeCell ref="B25:C25"/>
    <mergeCell ref="N32:P32"/>
    <mergeCell ref="N33:P33"/>
    <mergeCell ref="F32:I32"/>
    <mergeCell ref="J32:M32"/>
    <mergeCell ref="J31:M31"/>
    <mergeCell ref="F31:I31"/>
    <mergeCell ref="T29:V29"/>
    <mergeCell ref="L27:M27"/>
    <mergeCell ref="N27:P27"/>
    <mergeCell ref="G28:H29"/>
    <mergeCell ref="L28:M29"/>
    <mergeCell ref="N28:P28"/>
    <mergeCell ref="N31:P31"/>
    <mergeCell ref="I28:K28"/>
    <mergeCell ref="I29:K29"/>
    <mergeCell ref="N29:P29"/>
    <mergeCell ref="T30:V30"/>
    <mergeCell ref="T27:V27"/>
    <mergeCell ref="T32:V32"/>
    <mergeCell ref="B37:E37"/>
    <mergeCell ref="J36:K36"/>
    <mergeCell ref="F36:I36"/>
    <mergeCell ref="F37:I37"/>
    <mergeCell ref="B32:C33"/>
    <mergeCell ref="B30:D30"/>
    <mergeCell ref="F33:I33"/>
    <mergeCell ref="J33:M33"/>
    <mergeCell ref="B34:C35"/>
    <mergeCell ref="D34:E34"/>
    <mergeCell ref="F34:I34"/>
    <mergeCell ref="J34:M34"/>
    <mergeCell ref="D35:E35"/>
    <mergeCell ref="F35:I35"/>
    <mergeCell ref="B31:E31"/>
    <mergeCell ref="B43:C44"/>
    <mergeCell ref="B45:C46"/>
    <mergeCell ref="D39:F39"/>
    <mergeCell ref="G39:J39"/>
    <mergeCell ref="K39:M39"/>
    <mergeCell ref="N39:P39"/>
    <mergeCell ref="D40:F40"/>
    <mergeCell ref="G40:J40"/>
    <mergeCell ref="K40:M40"/>
    <mergeCell ref="N40:P40"/>
    <mergeCell ref="N43:P43"/>
    <mergeCell ref="D44:F44"/>
    <mergeCell ref="G44:J44"/>
    <mergeCell ref="K44:M44"/>
    <mergeCell ref="N44:P44"/>
    <mergeCell ref="D41:F41"/>
    <mergeCell ref="G41:J41"/>
    <mergeCell ref="K41:M41"/>
    <mergeCell ref="N41:P41"/>
    <mergeCell ref="D42:F42"/>
    <mergeCell ref="G42:J42"/>
    <mergeCell ref="K42:M42"/>
    <mergeCell ref="N42:P42"/>
    <mergeCell ref="T2:V2"/>
    <mergeCell ref="T3:U3"/>
    <mergeCell ref="T4:U4"/>
    <mergeCell ref="T5:U5"/>
    <mergeCell ref="K48:P48"/>
    <mergeCell ref="B49:F49"/>
    <mergeCell ref="G49:P49"/>
    <mergeCell ref="B50:F50"/>
    <mergeCell ref="B51:P52"/>
    <mergeCell ref="G47:J47"/>
    <mergeCell ref="B47:F47"/>
    <mergeCell ref="B48:F48"/>
    <mergeCell ref="G48:J48"/>
    <mergeCell ref="D45:F45"/>
    <mergeCell ref="G45:J45"/>
    <mergeCell ref="K45:M45"/>
    <mergeCell ref="N45:P45"/>
    <mergeCell ref="D46:F46"/>
    <mergeCell ref="G46:J46"/>
    <mergeCell ref="K46:M46"/>
    <mergeCell ref="N46:P46"/>
    <mergeCell ref="D43:F43"/>
    <mergeCell ref="G43:J43"/>
    <mergeCell ref="K43:M43"/>
    <mergeCell ref="AF10:AI10"/>
    <mergeCell ref="X9:AK9"/>
    <mergeCell ref="V8:W8"/>
    <mergeCell ref="X8:Y8"/>
    <mergeCell ref="AH6:AI6"/>
    <mergeCell ref="AJ6:AK6"/>
    <mergeCell ref="AC7:AD7"/>
    <mergeCell ref="X6:Y6"/>
    <mergeCell ref="X7:Y7"/>
    <mergeCell ref="Z6:AB6"/>
    <mergeCell ref="V6:W7"/>
    <mergeCell ref="Z8:AK8"/>
    <mergeCell ref="AE7:AG7"/>
    <mergeCell ref="Z7:AB7"/>
    <mergeCell ref="AE6:AG6"/>
    <mergeCell ref="AC6:AD6"/>
    <mergeCell ref="AH7:AI7"/>
    <mergeCell ref="AJ7:AK7"/>
    <mergeCell ref="T12:V12"/>
    <mergeCell ref="W11:Z11"/>
    <mergeCell ref="W12:Z12"/>
    <mergeCell ref="AB11:AE11"/>
    <mergeCell ref="AA12:AD12"/>
    <mergeCell ref="T18:V19"/>
    <mergeCell ref="W18:Y18"/>
    <mergeCell ref="V9:W9"/>
    <mergeCell ref="T10:V10"/>
    <mergeCell ref="W10:Z10"/>
    <mergeCell ref="AB10:AE10"/>
    <mergeCell ref="AC18:AK18"/>
    <mergeCell ref="T13:V13"/>
    <mergeCell ref="T14:V14"/>
    <mergeCell ref="T15:V15"/>
    <mergeCell ref="AI13:AK13"/>
    <mergeCell ref="W14:Y14"/>
    <mergeCell ref="Z14:AB14"/>
    <mergeCell ref="AC14:AE14"/>
    <mergeCell ref="T6:U9"/>
    <mergeCell ref="T17:V17"/>
    <mergeCell ref="W17:Y17"/>
    <mergeCell ref="Z17:AB17"/>
    <mergeCell ref="AC17:AK17"/>
    <mergeCell ref="AF14:AH14"/>
    <mergeCell ref="AI14:AK14"/>
    <mergeCell ref="W15:Y15"/>
    <mergeCell ref="Z15:AB15"/>
    <mergeCell ref="AC15:AE15"/>
    <mergeCell ref="AF15:AI15"/>
    <mergeCell ref="AF11:AI11"/>
    <mergeCell ref="W13:Y13"/>
    <mergeCell ref="Z13:AB13"/>
    <mergeCell ref="AC13:AE13"/>
    <mergeCell ref="AF13:AH13"/>
    <mergeCell ref="Z18:AB18"/>
    <mergeCell ref="Z19:AB19"/>
    <mergeCell ref="AC19:AK19"/>
    <mergeCell ref="T20:V21"/>
    <mergeCell ref="W20:Y20"/>
    <mergeCell ref="Z20:AB20"/>
    <mergeCell ref="AC20:AK20"/>
    <mergeCell ref="W21:Y21"/>
    <mergeCell ref="Z21:AB21"/>
    <mergeCell ref="B2:K3"/>
    <mergeCell ref="T49:U49"/>
    <mergeCell ref="T36:V36"/>
    <mergeCell ref="V3:AK3"/>
    <mergeCell ref="V4:AK4"/>
    <mergeCell ref="V5:AK5"/>
    <mergeCell ref="AD31:AF31"/>
    <mergeCell ref="AD32:AF32"/>
    <mergeCell ref="AI30:AK30"/>
    <mergeCell ref="AI31:AK31"/>
    <mergeCell ref="AI32:AK32"/>
    <mergeCell ref="V49:X49"/>
    <mergeCell ref="Y49:AA49"/>
    <mergeCell ref="AB49:AK49"/>
    <mergeCell ref="T45:W45"/>
    <mergeCell ref="AC21:AK21"/>
    <mergeCell ref="W22:Y22"/>
    <mergeCell ref="Z22:AB22"/>
    <mergeCell ref="AC22:AK22"/>
    <mergeCell ref="T22:V22"/>
    <mergeCell ref="AG23:AH23"/>
    <mergeCell ref="T23:V23"/>
    <mergeCell ref="W19:Y19"/>
    <mergeCell ref="T11:V11"/>
  </mergeCells>
  <phoneticPr fontId="1"/>
  <conditionalFormatting sqref="V40:W40 Z40:AA40 AE40:AF40 AJ40:AK40 I13:K13 W23:X23 W26:X27 AF26:AG27 AC28:AD28 AI24:AK24 AJ6:AK7">
    <cfRule type="cellIs" dxfId="119" priority="2" operator="equal">
      <formula>"有り"</formula>
    </cfRule>
  </conditionalFormatting>
  <conditionalFormatting sqref="V40:W40 Z40:AA40 AE40:AF40 AJ40:AK40 I13:K13 W23:X23 W26:X27 AF26:AG27 AC28:AD28 AI24:AK24 AJ6:AK7">
    <cfRule type="cellIs" dxfId="118" priority="1" operator="equal">
      <formula>"無し"</formula>
    </cfRule>
  </conditionalFormatting>
  <printOptions horizontalCentered="1" verticalCentered="1"/>
  <pageMargins left="0.39370078740157483" right="0.39370078740157483" top="0.39370078740157483" bottom="0.39370078740157483" header="0" footer="0"/>
  <pageSetup paperSize="8" scale="69" orientation="landscape" r:id="rId1"/>
  <drawing r:id="rId2"/>
  <legacyDrawing r:id="rId3"/>
  <mc:AlternateContent xmlns:mc="http://schemas.openxmlformats.org/markup-compatibility/2006">
    <mc:Choice Requires="x14">
      <controls>
        <mc:AlternateContent xmlns:mc="http://schemas.openxmlformats.org/markup-compatibility/2006">
          <mc:Choice Requires="x14">
            <control shapeId="29697" r:id="rId4" name="Button 1">
              <controlPr defaultSize="0" print="0" autoFill="0" autoPict="0" macro="[0]!SheetToPdfSave1">
                <anchor moveWithCells="1" sizeWithCells="1">
                  <from>
                    <xdr:col>1</xdr:col>
                    <xdr:colOff>76200</xdr:colOff>
                    <xdr:row>1</xdr:row>
                    <xdr:rowOff>66675</xdr:rowOff>
                  </from>
                  <to>
                    <xdr:col>3</xdr:col>
                    <xdr:colOff>171450</xdr:colOff>
                    <xdr:row>2</xdr:row>
                    <xdr:rowOff>200025</xdr:rowOff>
                  </to>
                </anchor>
              </controlPr>
            </control>
          </mc:Choice>
        </mc:AlternateContent>
      </controls>
    </mc:Choice>
  </mc:AlternateContent>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216C1F3-CB18-4DC5-9FA8-5E10D13F43E6}">
  <sheetPr codeName="Sheet13">
    <tabColor rgb="FF0070C0"/>
    <pageSetUpPr fitToPage="1"/>
  </sheetPr>
  <dimension ref="A1:Z94"/>
  <sheetViews>
    <sheetView view="pageBreakPreview" zoomScale="70" zoomScaleNormal="100" zoomScaleSheetLayoutView="70" workbookViewId="0">
      <selection activeCell="M16" sqref="M16"/>
    </sheetView>
  </sheetViews>
  <sheetFormatPr defaultColWidth="9" defaultRowHeight="23.25"/>
  <cols>
    <col min="1" max="1" width="3.125" style="469" customWidth="1"/>
    <col min="2" max="2" width="4.5" style="469" customWidth="1"/>
    <col min="3" max="5" width="12.625" style="469" customWidth="1"/>
    <col min="6" max="11" width="18.625" style="469" customWidth="1"/>
    <col min="12" max="13" width="12.625" style="145" customWidth="1"/>
    <col min="14" max="14" width="12.625" style="469" customWidth="1"/>
    <col min="15" max="15" width="3.875" style="469" bestFit="1" customWidth="1"/>
    <col min="16" max="16" width="9" style="470"/>
    <col min="17" max="17" width="9" style="469"/>
    <col min="18" max="18" width="35" style="469" customWidth="1"/>
    <col min="19" max="21" width="19.375" style="469" customWidth="1"/>
    <col min="22" max="23" width="9" style="469"/>
    <col min="24" max="24" width="9" style="470"/>
    <col min="25" max="16384" width="9" style="469"/>
  </cols>
  <sheetData>
    <row r="1" spans="1:21" ht="23.25" customHeight="1">
      <c r="B1" s="685" t="str">
        <f>IF(工事名個別&lt;&gt;"",工事名個別&amp;" 様邸 "&amp;物件種別&amp;"工事",工事名&amp;" 様邸 "&amp;物件種別&amp;"工事")</f>
        <v>田中 勝也 様邸 新築工事</v>
      </c>
      <c r="C1" s="685"/>
      <c r="D1" s="685"/>
      <c r="E1" s="685"/>
      <c r="F1" s="685"/>
      <c r="G1" s="685"/>
      <c r="H1" s="684" t="s">
        <v>3183</v>
      </c>
      <c r="I1" s="684"/>
      <c r="J1" s="684"/>
      <c r="K1" s="684"/>
      <c r="L1" s="684"/>
      <c r="M1" s="684"/>
      <c r="N1" s="684"/>
      <c r="R1" s="521">
        <v>282085</v>
      </c>
      <c r="S1" s="469" t="s">
        <v>3631</v>
      </c>
    </row>
    <row r="2" spans="1:21" ht="23.25" customHeight="1">
      <c r="B2" s="685"/>
      <c r="C2" s="685"/>
      <c r="D2" s="685"/>
      <c r="E2" s="685"/>
      <c r="F2" s="685"/>
      <c r="G2" s="685"/>
      <c r="H2" s="684"/>
      <c r="I2" s="684"/>
      <c r="J2" s="684"/>
      <c r="K2" s="684"/>
      <c r="L2" s="684"/>
      <c r="M2" s="684"/>
      <c r="N2" s="684"/>
      <c r="R2" s="669" t="str">
        <f>IF(R1&lt;&gt;"",HYPERLINK("https://nextoffice.next-hd.co.jp/pleasanter/items/"&amp;R1&amp;"/edit#FieldSetGeneral","▶▶▶粗利益計算書を開く"),"✕✕✕ 粗利益計算書は未登録")</f>
        <v>▶▶▶粗利益計算書を開く</v>
      </c>
      <c r="S2" s="669"/>
    </row>
    <row r="3" spans="1:21" ht="24" customHeight="1" thickBot="1">
      <c r="B3" s="686"/>
      <c r="C3" s="686"/>
      <c r="D3" s="686"/>
      <c r="E3" s="686"/>
      <c r="F3" s="686"/>
      <c r="G3" s="686"/>
      <c r="H3" s="684"/>
      <c r="I3" s="684"/>
      <c r="J3" s="684"/>
      <c r="K3" s="684"/>
      <c r="L3" s="684"/>
      <c r="M3" s="684"/>
      <c r="N3" s="684"/>
      <c r="R3" s="669"/>
      <c r="S3" s="669"/>
    </row>
    <row r="4" spans="1:21" s="471" customFormat="1" ht="12" thickTop="1">
      <c r="B4" s="472"/>
      <c r="C4" s="472"/>
      <c r="D4" s="472"/>
      <c r="E4" s="472"/>
      <c r="F4" s="472"/>
      <c r="G4" s="472"/>
      <c r="H4" s="473"/>
      <c r="I4" s="473"/>
      <c r="J4" s="473"/>
      <c r="K4" s="473"/>
      <c r="L4" s="473"/>
      <c r="M4" s="473"/>
      <c r="N4" s="473"/>
    </row>
    <row r="5" spans="1:21">
      <c r="B5" s="676" t="s">
        <v>3121</v>
      </c>
      <c r="C5" s="677"/>
      <c r="D5" s="678" t="str">
        <f>顧客コード</f>
        <v>NA0BRO</v>
      </c>
      <c r="E5" s="679"/>
      <c r="F5" s="474" t="s">
        <v>3122</v>
      </c>
      <c r="G5" s="475" t="str">
        <f>建物種類</f>
        <v>2階建て</v>
      </c>
      <c r="I5" s="474" t="s">
        <v>3123</v>
      </c>
      <c r="J5" s="680" t="str">
        <f>_xlfn.XLOOKUP("ItemTitle",JSONデータ!$F:$F,JSONデータ!$G:$G,"",0)</f>
        <v>actie 八王子</v>
      </c>
      <c r="K5" s="681"/>
      <c r="L5" s="682"/>
      <c r="M5" s="687" t="s">
        <v>3124</v>
      </c>
      <c r="N5" s="688"/>
      <c r="Q5" s="675" t="s">
        <v>3125</v>
      </c>
      <c r="R5" s="675"/>
      <c r="S5" s="675"/>
      <c r="T5" s="675"/>
      <c r="U5" s="675"/>
    </row>
    <row r="6" spans="1:21">
      <c r="B6" s="676" t="s">
        <v>3126</v>
      </c>
      <c r="C6" s="677"/>
      <c r="D6" s="678" t="str">
        <f>契約コード</f>
        <v>05A3BRONT</v>
      </c>
      <c r="E6" s="679"/>
      <c r="F6" s="474" t="s">
        <v>3127</v>
      </c>
      <c r="G6" s="475">
        <f>延床面積</f>
        <v>136.21</v>
      </c>
      <c r="I6" s="474" t="s">
        <v>3128</v>
      </c>
      <c r="J6" s="680" t="str">
        <f>変換!$D$23</f>
        <v>中村 賢治</v>
      </c>
      <c r="K6" s="681"/>
      <c r="L6" s="682"/>
      <c r="M6" s="687"/>
      <c r="N6" s="688"/>
      <c r="Q6" s="675"/>
      <c r="R6" s="675"/>
      <c r="S6" s="675"/>
      <c r="T6" s="675"/>
      <c r="U6" s="675"/>
    </row>
    <row r="7" spans="1:21">
      <c r="B7" s="676" t="s">
        <v>3129</v>
      </c>
      <c r="C7" s="677"/>
      <c r="D7" s="678" t="str">
        <f>_xlfn.XLOOKUP("ItemTitle",JSONデータ!H:H,JSONデータ!I:I,"",0)</f>
        <v>actie</v>
      </c>
      <c r="E7" s="679"/>
      <c r="F7" s="474" t="s">
        <v>3130</v>
      </c>
      <c r="G7" s="475">
        <f>延床面積_坪</f>
        <v>41.19</v>
      </c>
      <c r="H7" s="476"/>
      <c r="I7" s="474" t="s">
        <v>3131</v>
      </c>
      <c r="J7" s="680" t="str">
        <f>_xlfn.XLOOKUP("ClassA",JSONデータ!$B:$B,JSONデータ!$C:$C,"",0)</f>
        <v>ネクストイノベーション株式会社</v>
      </c>
      <c r="K7" s="681"/>
      <c r="L7" s="682"/>
      <c r="M7" s="687"/>
      <c r="N7" s="688"/>
      <c r="Q7" s="675"/>
      <c r="R7" s="675"/>
      <c r="S7" s="675"/>
      <c r="T7" s="675"/>
      <c r="U7" s="675"/>
    </row>
    <row r="8" spans="1:21">
      <c r="B8" s="676" t="s">
        <v>3132</v>
      </c>
      <c r="C8" s="677"/>
      <c r="D8" s="678" t="str">
        <f>_xlfn.XLOOKUP("ItemTitle",JSONデータ!$J:$J,JSONデータ!$K:$K,"",0)</f>
        <v>smart style</v>
      </c>
      <c r="E8" s="679"/>
      <c r="F8" s="474" t="s">
        <v>3133</v>
      </c>
      <c r="G8" s="475" t="str">
        <f>RW_LVL</f>
        <v>LVL</v>
      </c>
      <c r="H8" s="476"/>
      <c r="I8" s="476"/>
      <c r="J8" s="102"/>
      <c r="K8" s="102"/>
      <c r="L8" s="103"/>
      <c r="M8" s="683" t="s">
        <v>3134</v>
      </c>
      <c r="N8" s="683"/>
      <c r="Q8" s="675"/>
      <c r="R8" s="675"/>
      <c r="S8" s="675"/>
      <c r="T8" s="675"/>
      <c r="U8" s="675"/>
    </row>
    <row r="9" spans="1:21" s="471" customFormat="1" ht="12" thickBot="1">
      <c r="L9" s="104"/>
      <c r="M9" s="683"/>
      <c r="N9" s="683"/>
      <c r="Q9" s="675"/>
      <c r="R9" s="675"/>
      <c r="S9" s="675"/>
      <c r="T9" s="675"/>
      <c r="U9" s="675"/>
    </row>
    <row r="10" spans="1:21" ht="24" thickBot="1">
      <c r="B10" s="689" t="s">
        <v>3135</v>
      </c>
      <c r="C10" s="690"/>
      <c r="D10" s="690"/>
      <c r="E10" s="691"/>
      <c r="F10" s="477" t="s">
        <v>3136</v>
      </c>
      <c r="G10" s="477" t="s">
        <v>3137</v>
      </c>
      <c r="H10" s="477" t="s">
        <v>3138</v>
      </c>
      <c r="I10" s="477" t="s">
        <v>3139</v>
      </c>
      <c r="J10" s="477" t="s">
        <v>3140</v>
      </c>
      <c r="K10" s="477" t="s">
        <v>3141</v>
      </c>
      <c r="L10" s="105" t="s">
        <v>3142</v>
      </c>
      <c r="M10" s="692" t="str">
        <f>IF(設計契約="1","あり","なし")</f>
        <v>あり</v>
      </c>
      <c r="N10" s="693"/>
      <c r="Q10" s="675"/>
      <c r="R10" s="675"/>
      <c r="S10" s="675"/>
      <c r="T10" s="675"/>
      <c r="U10" s="675"/>
    </row>
    <row r="11" spans="1:21" ht="30.75" thickBot="1">
      <c r="A11" s="478"/>
      <c r="B11" s="694" t="s">
        <v>3143</v>
      </c>
      <c r="C11" s="695"/>
      <c r="D11" s="695"/>
      <c r="E11" s="696"/>
      <c r="F11" s="106">
        <v>27477928</v>
      </c>
      <c r="G11" s="479"/>
      <c r="H11" s="106">
        <f>H24</f>
        <v>20868219</v>
      </c>
      <c r="I11" s="106">
        <f>I24</f>
        <v>0</v>
      </c>
      <c r="J11" s="107"/>
      <c r="K11" s="107"/>
      <c r="L11" s="108"/>
      <c r="M11" s="692"/>
      <c r="N11" s="693"/>
      <c r="Q11" s="675"/>
      <c r="R11" s="675"/>
      <c r="S11" s="675"/>
      <c r="T11" s="675"/>
      <c r="U11" s="675"/>
    </row>
    <row r="12" spans="1:21" ht="23.25" customHeight="1">
      <c r="A12" s="469">
        <v>1</v>
      </c>
      <c r="B12" s="697" t="s">
        <v>3144</v>
      </c>
      <c r="C12" s="708" t="s">
        <v>3809</v>
      </c>
      <c r="D12" s="709"/>
      <c r="E12" s="710"/>
      <c r="F12" s="480">
        <v>200000</v>
      </c>
      <c r="G12" s="481"/>
      <c r="H12" s="109"/>
      <c r="I12" s="109"/>
      <c r="J12" s="109"/>
      <c r="K12" s="109"/>
      <c r="L12" s="110"/>
      <c r="M12" s="111">
        <v>1</v>
      </c>
      <c r="Q12" s="675"/>
      <c r="R12" s="675"/>
      <c r="S12" s="675"/>
      <c r="T12" s="675"/>
      <c r="U12" s="675"/>
    </row>
    <row r="13" spans="1:21" ht="23.25" customHeight="1">
      <c r="A13" s="469">
        <v>2</v>
      </c>
      <c r="B13" s="698"/>
      <c r="C13" s="671" t="s">
        <v>3810</v>
      </c>
      <c r="D13" s="672"/>
      <c r="E13" s="673"/>
      <c r="F13" s="482">
        <v>125000</v>
      </c>
      <c r="G13" s="483"/>
      <c r="H13" s="112"/>
      <c r="I13" s="112"/>
      <c r="J13" s="112"/>
      <c r="K13" s="112"/>
      <c r="L13" s="113"/>
      <c r="M13" s="111">
        <v>2</v>
      </c>
      <c r="Q13" s="670"/>
      <c r="R13" s="670"/>
    </row>
    <row r="14" spans="1:21" ht="23.25" customHeight="1">
      <c r="A14" s="469">
        <v>3</v>
      </c>
      <c r="B14" s="698"/>
      <c r="C14" s="671" t="s">
        <v>3811</v>
      </c>
      <c r="D14" s="672"/>
      <c r="E14" s="673"/>
      <c r="F14" s="482">
        <v>100000</v>
      </c>
      <c r="G14" s="483"/>
      <c r="H14" s="112"/>
      <c r="I14" s="112"/>
      <c r="J14" s="112"/>
      <c r="K14" s="112"/>
      <c r="L14" s="113"/>
      <c r="M14" s="111">
        <v>3</v>
      </c>
      <c r="Q14" s="674"/>
      <c r="R14" s="674"/>
    </row>
    <row r="15" spans="1:21" ht="23.25" customHeight="1">
      <c r="A15" s="469">
        <v>4</v>
      </c>
      <c r="B15" s="698"/>
      <c r="C15" s="671" t="s">
        <v>3907</v>
      </c>
      <c r="D15" s="672"/>
      <c r="E15" s="673"/>
      <c r="F15" s="482">
        <v>250000</v>
      </c>
      <c r="G15" s="483"/>
      <c r="H15" s="112"/>
      <c r="I15" s="112"/>
      <c r="J15" s="112"/>
      <c r="K15" s="112"/>
      <c r="L15" s="113"/>
      <c r="M15" s="111">
        <v>4</v>
      </c>
      <c r="Q15" s="674"/>
      <c r="R15" s="674"/>
    </row>
    <row r="16" spans="1:21" ht="23.25" customHeight="1">
      <c r="A16" s="469">
        <v>5</v>
      </c>
      <c r="B16" s="698"/>
      <c r="C16" s="671" t="s">
        <v>5174</v>
      </c>
      <c r="D16" s="672"/>
      <c r="E16" s="673"/>
      <c r="F16" s="482">
        <v>100000</v>
      </c>
      <c r="G16" s="483"/>
      <c r="H16" s="112"/>
      <c r="I16" s="112"/>
      <c r="J16" s="112"/>
      <c r="K16" s="112"/>
      <c r="L16" s="113"/>
      <c r="M16" s="111">
        <v>5</v>
      </c>
      <c r="R16" s="484"/>
    </row>
    <row r="17" spans="1:17" ht="23.25" customHeight="1">
      <c r="A17" s="469">
        <v>6</v>
      </c>
      <c r="B17" s="698"/>
      <c r="C17" s="671" t="s">
        <v>5192</v>
      </c>
      <c r="D17" s="672"/>
      <c r="E17" s="673"/>
      <c r="F17" s="482"/>
      <c r="G17" s="483"/>
      <c r="H17" s="112"/>
      <c r="I17" s="112"/>
      <c r="J17" s="112"/>
      <c r="K17" s="112"/>
      <c r="L17" s="113"/>
      <c r="M17" s="111">
        <v>6</v>
      </c>
    </row>
    <row r="18" spans="1:17" ht="23.25" customHeight="1">
      <c r="A18" s="469">
        <v>7</v>
      </c>
      <c r="B18" s="698"/>
      <c r="C18" s="671" t="s">
        <v>5176</v>
      </c>
      <c r="D18" s="672"/>
      <c r="E18" s="673"/>
      <c r="F18" s="482"/>
      <c r="G18" s="483"/>
      <c r="H18" s="112"/>
      <c r="I18" s="112"/>
      <c r="J18" s="112"/>
      <c r="K18" s="112"/>
      <c r="L18" s="113"/>
      <c r="M18" s="111"/>
    </row>
    <row r="19" spans="1:17" ht="23.25" customHeight="1">
      <c r="A19" s="469">
        <v>8</v>
      </c>
      <c r="B19" s="698"/>
      <c r="C19" s="671"/>
      <c r="D19" s="672"/>
      <c r="E19" s="673"/>
      <c r="F19" s="482"/>
      <c r="G19" s="483"/>
      <c r="H19" s="112"/>
      <c r="I19" s="112"/>
      <c r="J19" s="112"/>
      <c r="K19" s="112"/>
      <c r="L19" s="113"/>
      <c r="M19" s="111"/>
    </row>
    <row r="20" spans="1:17" ht="23.25" customHeight="1">
      <c r="A20" s="469">
        <v>9</v>
      </c>
      <c r="B20" s="698"/>
      <c r="C20" s="671"/>
      <c r="D20" s="672"/>
      <c r="E20" s="673"/>
      <c r="F20" s="482"/>
      <c r="G20" s="483"/>
      <c r="H20" s="112"/>
      <c r="I20" s="112"/>
      <c r="J20" s="112"/>
      <c r="K20" s="112"/>
      <c r="L20" s="113"/>
      <c r="M20" s="111">
        <v>7</v>
      </c>
    </row>
    <row r="21" spans="1:17" ht="23.25" customHeight="1">
      <c r="A21" s="469">
        <v>10</v>
      </c>
      <c r="B21" s="698"/>
      <c r="C21" s="711"/>
      <c r="D21" s="712"/>
      <c r="E21" s="713"/>
      <c r="F21" s="485"/>
      <c r="G21" s="486"/>
      <c r="H21" s="114"/>
      <c r="I21" s="114"/>
      <c r="J21" s="114"/>
      <c r="K21" s="114"/>
      <c r="L21" s="115"/>
      <c r="M21" s="111">
        <v>8</v>
      </c>
    </row>
    <row r="22" spans="1:17" ht="23.25" customHeight="1" thickBot="1">
      <c r="B22" s="699" t="s">
        <v>3145</v>
      </c>
      <c r="C22" s="700"/>
      <c r="D22" s="700"/>
      <c r="E22" s="701"/>
      <c r="F22" s="116">
        <f>SUM(F12:F21)</f>
        <v>775000</v>
      </c>
      <c r="G22" s="116">
        <f>SUM(G12:G21)</f>
        <v>0</v>
      </c>
      <c r="H22" s="117"/>
      <c r="I22" s="117"/>
      <c r="J22" s="117"/>
      <c r="K22" s="117"/>
      <c r="L22" s="118"/>
      <c r="M22" s="119"/>
    </row>
    <row r="23" spans="1:17" ht="23.25" customHeight="1" thickBot="1">
      <c r="B23" s="702" t="s">
        <v>3146</v>
      </c>
      <c r="C23" s="703"/>
      <c r="D23" s="703"/>
      <c r="E23" s="704"/>
      <c r="F23" s="120">
        <f>-J35</f>
        <v>-52631</v>
      </c>
      <c r="G23" s="120">
        <f>-K35</f>
        <v>0</v>
      </c>
      <c r="H23" s="121"/>
      <c r="I23" s="121"/>
      <c r="J23" s="122"/>
      <c r="K23" s="122"/>
      <c r="L23" s="123"/>
      <c r="M23" s="119"/>
    </row>
    <row r="24" spans="1:17" ht="23.25" customHeight="1" thickBot="1">
      <c r="B24" s="705" t="s">
        <v>3147</v>
      </c>
      <c r="C24" s="706"/>
      <c r="D24" s="706"/>
      <c r="E24" s="707"/>
      <c r="F24" s="124">
        <f>F11+F22+F23</f>
        <v>28200297</v>
      </c>
      <c r="G24" s="124">
        <f>G11+G22+G23</f>
        <v>0</v>
      </c>
      <c r="H24" s="124">
        <f>F24-J24</f>
        <v>20868219</v>
      </c>
      <c r="I24" s="125">
        <f>G24-K24</f>
        <v>0</v>
      </c>
      <c r="J24" s="126">
        <f>ROUNDUP(F24*L24,0)</f>
        <v>7332078</v>
      </c>
      <c r="K24" s="126">
        <f>ROUNDUP(G24*L24,0)</f>
        <v>0</v>
      </c>
      <c r="L24" s="487">
        <v>0.26</v>
      </c>
      <c r="M24" s="127" t="s">
        <v>3148</v>
      </c>
      <c r="Q24" s="488" t="s">
        <v>3149</v>
      </c>
    </row>
    <row r="25" spans="1:17" ht="23.25" customHeight="1">
      <c r="A25" s="469">
        <v>1</v>
      </c>
      <c r="B25" s="697" t="s">
        <v>3150</v>
      </c>
      <c r="C25" s="708" t="s">
        <v>4595</v>
      </c>
      <c r="D25" s="709"/>
      <c r="E25" s="710"/>
      <c r="F25" s="489">
        <v>52631</v>
      </c>
      <c r="G25" s="490">
        <v>0</v>
      </c>
      <c r="H25" s="489">
        <v>0</v>
      </c>
      <c r="I25" s="490">
        <v>0</v>
      </c>
      <c r="J25" s="128">
        <f>F25-H25</f>
        <v>52631</v>
      </c>
      <c r="K25" s="128">
        <f>G25-I25</f>
        <v>0</v>
      </c>
      <c r="L25" s="129"/>
      <c r="M25" s="111">
        <v>1</v>
      </c>
      <c r="Q25" s="488"/>
    </row>
    <row r="26" spans="1:17" ht="23.25" customHeight="1">
      <c r="A26" s="469">
        <v>2</v>
      </c>
      <c r="B26" s="698"/>
      <c r="C26" s="671" t="s">
        <v>4597</v>
      </c>
      <c r="D26" s="672"/>
      <c r="E26" s="673"/>
      <c r="F26" s="482">
        <v>0</v>
      </c>
      <c r="G26" s="483">
        <v>0</v>
      </c>
      <c r="H26" s="482">
        <v>0</v>
      </c>
      <c r="I26" s="483">
        <v>0</v>
      </c>
      <c r="J26" s="130">
        <f t="shared" ref="J26:K34" si="0">F26-H26</f>
        <v>0</v>
      </c>
      <c r="K26" s="130">
        <f t="shared" si="0"/>
        <v>0</v>
      </c>
      <c r="L26" s="131"/>
      <c r="M26" s="111">
        <v>2</v>
      </c>
      <c r="Q26" s="488" t="s">
        <v>3151</v>
      </c>
    </row>
    <row r="27" spans="1:17" ht="23.25" customHeight="1">
      <c r="A27" s="469">
        <v>3</v>
      </c>
      <c r="B27" s="698"/>
      <c r="C27" s="671" t="s">
        <v>4598</v>
      </c>
      <c r="D27" s="672"/>
      <c r="E27" s="673"/>
      <c r="F27" s="482">
        <v>0</v>
      </c>
      <c r="G27" s="483">
        <v>0</v>
      </c>
      <c r="H27" s="482">
        <v>0</v>
      </c>
      <c r="I27" s="483">
        <v>0</v>
      </c>
      <c r="J27" s="130">
        <f t="shared" si="0"/>
        <v>0</v>
      </c>
      <c r="K27" s="130">
        <f t="shared" si="0"/>
        <v>0</v>
      </c>
      <c r="L27" s="131"/>
      <c r="M27" s="111">
        <v>3</v>
      </c>
    </row>
    <row r="28" spans="1:17" ht="23.25" customHeight="1">
      <c r="A28" s="469">
        <v>4</v>
      </c>
      <c r="B28" s="698"/>
      <c r="C28" s="671"/>
      <c r="D28" s="672"/>
      <c r="E28" s="673"/>
      <c r="F28" s="482"/>
      <c r="G28" s="483"/>
      <c r="H28" s="482"/>
      <c r="I28" s="483"/>
      <c r="J28" s="130">
        <f t="shared" si="0"/>
        <v>0</v>
      </c>
      <c r="K28" s="130">
        <f t="shared" si="0"/>
        <v>0</v>
      </c>
      <c r="L28" s="131"/>
      <c r="M28" s="111">
        <v>4</v>
      </c>
    </row>
    <row r="29" spans="1:17" ht="23.25" customHeight="1">
      <c r="A29" s="469">
        <v>5</v>
      </c>
      <c r="B29" s="698"/>
      <c r="C29" s="671"/>
      <c r="D29" s="672"/>
      <c r="E29" s="673"/>
      <c r="F29" s="482"/>
      <c r="G29" s="483"/>
      <c r="H29" s="482"/>
      <c r="I29" s="483"/>
      <c r="J29" s="130">
        <f t="shared" si="0"/>
        <v>0</v>
      </c>
      <c r="K29" s="130">
        <f t="shared" si="0"/>
        <v>0</v>
      </c>
      <c r="L29" s="131"/>
      <c r="M29" s="111">
        <v>5</v>
      </c>
    </row>
    <row r="30" spans="1:17" ht="23.25" customHeight="1">
      <c r="A30" s="469">
        <v>6</v>
      </c>
      <c r="B30" s="698"/>
      <c r="C30" s="671"/>
      <c r="D30" s="672"/>
      <c r="E30" s="673"/>
      <c r="F30" s="482"/>
      <c r="G30" s="483"/>
      <c r="H30" s="482"/>
      <c r="I30" s="483"/>
      <c r="J30" s="130">
        <f t="shared" si="0"/>
        <v>0</v>
      </c>
      <c r="K30" s="130">
        <f t="shared" si="0"/>
        <v>0</v>
      </c>
      <c r="L30" s="131"/>
      <c r="M30" s="111">
        <v>6</v>
      </c>
    </row>
    <row r="31" spans="1:17" ht="23.25" customHeight="1">
      <c r="A31" s="469">
        <v>7</v>
      </c>
      <c r="B31" s="698"/>
      <c r="C31" s="671"/>
      <c r="D31" s="672"/>
      <c r="E31" s="673"/>
      <c r="F31" s="482"/>
      <c r="G31" s="483"/>
      <c r="H31" s="482"/>
      <c r="I31" s="483"/>
      <c r="J31" s="130">
        <f t="shared" si="0"/>
        <v>0</v>
      </c>
      <c r="K31" s="130">
        <f t="shared" si="0"/>
        <v>0</v>
      </c>
      <c r="L31" s="131"/>
      <c r="M31" s="111">
        <v>7</v>
      </c>
    </row>
    <row r="32" spans="1:17" ht="23.25" customHeight="1">
      <c r="A32" s="469">
        <v>8</v>
      </c>
      <c r="B32" s="698"/>
      <c r="C32" s="671"/>
      <c r="D32" s="672"/>
      <c r="E32" s="673"/>
      <c r="F32" s="494"/>
      <c r="G32" s="493"/>
      <c r="H32" s="494"/>
      <c r="I32" s="493"/>
      <c r="J32" s="130">
        <f t="shared" ref="J32:J33" si="1">F32-H32</f>
        <v>0</v>
      </c>
      <c r="K32" s="130">
        <f t="shared" ref="K32:K33" si="2">G32-I32</f>
        <v>0</v>
      </c>
      <c r="L32" s="559"/>
      <c r="M32" s="111">
        <v>8</v>
      </c>
    </row>
    <row r="33" spans="1:26" ht="23.25" customHeight="1">
      <c r="A33" s="469">
        <v>9</v>
      </c>
      <c r="B33" s="698"/>
      <c r="C33" s="671"/>
      <c r="D33" s="672"/>
      <c r="E33" s="673"/>
      <c r="F33" s="494"/>
      <c r="G33" s="493"/>
      <c r="H33" s="494"/>
      <c r="I33" s="493"/>
      <c r="J33" s="130">
        <f t="shared" si="1"/>
        <v>0</v>
      </c>
      <c r="K33" s="130">
        <f t="shared" si="2"/>
        <v>0</v>
      </c>
      <c r="L33" s="559"/>
      <c r="M33" s="111">
        <v>9</v>
      </c>
    </row>
    <row r="34" spans="1:26" ht="23.25" customHeight="1">
      <c r="A34" s="469">
        <v>10</v>
      </c>
      <c r="B34" s="698"/>
      <c r="C34" s="711"/>
      <c r="D34" s="712"/>
      <c r="E34" s="713"/>
      <c r="F34" s="485"/>
      <c r="G34" s="486"/>
      <c r="H34" s="485"/>
      <c r="I34" s="486"/>
      <c r="J34" s="132">
        <f t="shared" si="0"/>
        <v>0</v>
      </c>
      <c r="K34" s="132">
        <f t="shared" si="0"/>
        <v>0</v>
      </c>
      <c r="L34" s="133"/>
      <c r="M34" s="111">
        <v>10</v>
      </c>
    </row>
    <row r="35" spans="1:26" ht="23.25" customHeight="1" thickBot="1">
      <c r="B35" s="699" t="s">
        <v>3145</v>
      </c>
      <c r="C35" s="700"/>
      <c r="D35" s="700"/>
      <c r="E35" s="701"/>
      <c r="F35" s="134">
        <f>SUM(F25:F34)</f>
        <v>52631</v>
      </c>
      <c r="G35" s="134">
        <f t="shared" ref="G35:J35" si="3">SUM(G25:G34)</f>
        <v>0</v>
      </c>
      <c r="H35" s="134">
        <f t="shared" si="3"/>
        <v>0</v>
      </c>
      <c r="I35" s="134">
        <f t="shared" si="3"/>
        <v>0</v>
      </c>
      <c r="J35" s="135">
        <f t="shared" si="3"/>
        <v>52631</v>
      </c>
      <c r="K35" s="135">
        <f>SUM(K25:K34)</f>
        <v>0</v>
      </c>
      <c r="L35" s="136"/>
      <c r="M35" s="491" t="s">
        <v>3152</v>
      </c>
    </row>
    <row r="36" spans="1:26" ht="23.25" customHeight="1" thickBot="1">
      <c r="B36" s="705" t="s">
        <v>3153</v>
      </c>
      <c r="C36" s="706"/>
      <c r="D36" s="706"/>
      <c r="E36" s="707"/>
      <c r="F36" s="492">
        <f>F24+F35</f>
        <v>28252928</v>
      </c>
      <c r="G36" s="492">
        <f t="shared" ref="G36:K36" si="4">G24+G35</f>
        <v>0</v>
      </c>
      <c r="H36" s="492">
        <f>H24+H35</f>
        <v>20868219</v>
      </c>
      <c r="I36" s="492">
        <f t="shared" si="4"/>
        <v>0</v>
      </c>
      <c r="J36" s="492">
        <f t="shared" si="4"/>
        <v>7384709</v>
      </c>
      <c r="K36" s="492">
        <f t="shared" si="4"/>
        <v>0</v>
      </c>
      <c r="L36" s="137">
        <f>IF(F36=0,"",ROUNDDOWN(J36/F36,3))</f>
        <v>0.26100000000000001</v>
      </c>
      <c r="M36" s="138" t="str">
        <f>IF(G36=0,"",ROUNDDOWN(K36/F36,3))</f>
        <v/>
      </c>
      <c r="Q36" s="714" t="s">
        <v>3154</v>
      </c>
      <c r="R36" s="714"/>
      <c r="S36" s="714"/>
      <c r="T36" s="714"/>
      <c r="U36" s="714"/>
      <c r="V36" s="714"/>
      <c r="W36" s="714"/>
      <c r="X36" s="714"/>
      <c r="Y36" s="714"/>
      <c r="Z36" s="714"/>
    </row>
    <row r="37" spans="1:26" ht="23.25" customHeight="1">
      <c r="A37" s="469">
        <v>1</v>
      </c>
      <c r="B37" s="697" t="s">
        <v>3155</v>
      </c>
      <c r="C37" s="708" t="s">
        <v>5179</v>
      </c>
      <c r="D37" s="709"/>
      <c r="E37" s="710"/>
      <c r="F37" s="489">
        <v>100000</v>
      </c>
      <c r="G37" s="490">
        <v>0</v>
      </c>
      <c r="H37" s="489">
        <v>0</v>
      </c>
      <c r="I37" s="490">
        <v>0</v>
      </c>
      <c r="J37" s="128">
        <f>F37-H37</f>
        <v>100000</v>
      </c>
      <c r="K37" s="128">
        <f>G37-I37</f>
        <v>0</v>
      </c>
      <c r="L37" s="129"/>
      <c r="M37" s="111">
        <v>1</v>
      </c>
      <c r="Q37" s="714"/>
      <c r="R37" s="714"/>
      <c r="S37" s="714"/>
      <c r="T37" s="714"/>
      <c r="U37" s="714"/>
      <c r="V37" s="714"/>
      <c r="W37" s="714"/>
      <c r="X37" s="714"/>
      <c r="Y37" s="714"/>
      <c r="Z37" s="714"/>
    </row>
    <row r="38" spans="1:26" ht="23.25" customHeight="1">
      <c r="A38" s="469">
        <v>2</v>
      </c>
      <c r="B38" s="698"/>
      <c r="C38" s="671"/>
      <c r="D38" s="672"/>
      <c r="E38" s="673"/>
      <c r="F38" s="482"/>
      <c r="G38" s="483"/>
      <c r="H38" s="482"/>
      <c r="I38" s="483"/>
      <c r="J38" s="130">
        <f t="shared" ref="J38:K46" si="5">F38-H38</f>
        <v>0</v>
      </c>
      <c r="K38" s="130">
        <f t="shared" si="5"/>
        <v>0</v>
      </c>
      <c r="L38" s="131"/>
      <c r="M38" s="111">
        <v>2</v>
      </c>
      <c r="Q38" s="714"/>
      <c r="R38" s="714"/>
      <c r="S38" s="714"/>
      <c r="T38" s="714"/>
      <c r="U38" s="714"/>
      <c r="V38" s="714"/>
      <c r="W38" s="714"/>
      <c r="X38" s="714"/>
      <c r="Y38" s="714"/>
      <c r="Z38" s="714"/>
    </row>
    <row r="39" spans="1:26" ht="23.25" customHeight="1">
      <c r="A39" s="469">
        <v>3</v>
      </c>
      <c r="B39" s="698"/>
      <c r="C39" s="671"/>
      <c r="D39" s="672"/>
      <c r="E39" s="673"/>
      <c r="F39" s="482"/>
      <c r="G39" s="483"/>
      <c r="H39" s="482"/>
      <c r="I39" s="483"/>
      <c r="J39" s="130">
        <f t="shared" si="5"/>
        <v>0</v>
      </c>
      <c r="K39" s="130">
        <f t="shared" si="5"/>
        <v>0</v>
      </c>
      <c r="L39" s="131"/>
      <c r="M39" s="111">
        <v>3</v>
      </c>
      <c r="Q39" s="714"/>
      <c r="R39" s="714"/>
      <c r="S39" s="714"/>
      <c r="T39" s="714"/>
      <c r="U39" s="714"/>
      <c r="V39" s="714"/>
      <c r="W39" s="714"/>
      <c r="X39" s="714"/>
      <c r="Y39" s="714"/>
      <c r="Z39" s="714"/>
    </row>
    <row r="40" spans="1:26" ht="23.25" customHeight="1">
      <c r="A40" s="469">
        <v>4</v>
      </c>
      <c r="B40" s="698"/>
      <c r="C40" s="671"/>
      <c r="D40" s="672"/>
      <c r="E40" s="673"/>
      <c r="F40" s="482"/>
      <c r="G40" s="483"/>
      <c r="H40" s="482"/>
      <c r="I40" s="483"/>
      <c r="J40" s="130">
        <f t="shared" si="5"/>
        <v>0</v>
      </c>
      <c r="K40" s="130">
        <f t="shared" si="5"/>
        <v>0</v>
      </c>
      <c r="L40" s="131"/>
      <c r="M40" s="111">
        <v>4</v>
      </c>
      <c r="Q40" s="714"/>
      <c r="R40" s="714"/>
      <c r="S40" s="714"/>
      <c r="T40" s="714"/>
      <c r="U40" s="714"/>
      <c r="V40" s="714"/>
      <c r="W40" s="714"/>
      <c r="X40" s="714"/>
      <c r="Y40" s="714"/>
      <c r="Z40" s="714"/>
    </row>
    <row r="41" spans="1:26" ht="23.25" customHeight="1">
      <c r="A41" s="469">
        <v>5</v>
      </c>
      <c r="B41" s="698"/>
      <c r="C41" s="671"/>
      <c r="D41" s="672"/>
      <c r="E41" s="673"/>
      <c r="F41" s="482"/>
      <c r="G41" s="483"/>
      <c r="H41" s="482"/>
      <c r="I41" s="483"/>
      <c r="J41" s="130">
        <f t="shared" si="5"/>
        <v>0</v>
      </c>
      <c r="K41" s="130">
        <f t="shared" si="5"/>
        <v>0</v>
      </c>
      <c r="L41" s="131"/>
      <c r="M41" s="111">
        <v>5</v>
      </c>
      <c r="Q41" s="714"/>
      <c r="R41" s="714"/>
      <c r="S41" s="714"/>
      <c r="T41" s="714"/>
      <c r="U41" s="714"/>
      <c r="V41" s="714"/>
      <c r="W41" s="714"/>
      <c r="X41" s="714"/>
      <c r="Y41" s="714"/>
      <c r="Z41" s="714"/>
    </row>
    <row r="42" spans="1:26" ht="23.25" customHeight="1">
      <c r="A42" s="469">
        <v>6</v>
      </c>
      <c r="B42" s="698"/>
      <c r="C42" s="671"/>
      <c r="D42" s="672"/>
      <c r="E42" s="673"/>
      <c r="F42" s="482"/>
      <c r="G42" s="483"/>
      <c r="H42" s="482"/>
      <c r="I42" s="483"/>
      <c r="J42" s="130">
        <f t="shared" si="5"/>
        <v>0</v>
      </c>
      <c r="K42" s="130">
        <f t="shared" si="5"/>
        <v>0</v>
      </c>
      <c r="L42" s="131"/>
      <c r="M42" s="111">
        <v>6</v>
      </c>
      <c r="Q42" s="714"/>
      <c r="R42" s="714"/>
      <c r="S42" s="714"/>
      <c r="T42" s="714"/>
      <c r="U42" s="714"/>
      <c r="V42" s="714"/>
      <c r="W42" s="714"/>
      <c r="X42" s="714"/>
      <c r="Y42" s="714"/>
      <c r="Z42" s="714"/>
    </row>
    <row r="43" spans="1:26" ht="23.25" customHeight="1">
      <c r="A43" s="469">
        <v>7</v>
      </c>
      <c r="B43" s="698"/>
      <c r="C43" s="671"/>
      <c r="D43" s="672"/>
      <c r="E43" s="673"/>
      <c r="F43" s="482"/>
      <c r="G43" s="483"/>
      <c r="H43" s="482"/>
      <c r="I43" s="483"/>
      <c r="J43" s="130">
        <f t="shared" ref="J43:J45" si="6">F43-H43</f>
        <v>0</v>
      </c>
      <c r="K43" s="130">
        <f t="shared" ref="K43:K45" si="7">G43-I43</f>
        <v>0</v>
      </c>
      <c r="L43" s="131"/>
      <c r="M43" s="111">
        <v>7</v>
      </c>
    </row>
    <row r="44" spans="1:26" ht="23.25" customHeight="1">
      <c r="A44" s="469">
        <v>8</v>
      </c>
      <c r="B44" s="698"/>
      <c r="C44" s="671"/>
      <c r="D44" s="672"/>
      <c r="E44" s="673"/>
      <c r="F44" s="482"/>
      <c r="G44" s="483"/>
      <c r="H44" s="482"/>
      <c r="I44" s="483"/>
      <c r="J44" s="130">
        <f t="shared" si="6"/>
        <v>0</v>
      </c>
      <c r="K44" s="130">
        <f t="shared" si="7"/>
        <v>0</v>
      </c>
      <c r="L44" s="559"/>
      <c r="M44" s="111">
        <v>8</v>
      </c>
    </row>
    <row r="45" spans="1:26" ht="23.25" customHeight="1">
      <c r="A45" s="469">
        <v>9</v>
      </c>
      <c r="B45" s="698"/>
      <c r="C45" s="671"/>
      <c r="D45" s="672"/>
      <c r="E45" s="673"/>
      <c r="F45" s="482"/>
      <c r="G45" s="483"/>
      <c r="H45" s="482"/>
      <c r="I45" s="483"/>
      <c r="J45" s="130">
        <f t="shared" si="6"/>
        <v>0</v>
      </c>
      <c r="K45" s="130">
        <f t="shared" si="7"/>
        <v>0</v>
      </c>
      <c r="L45" s="559"/>
      <c r="M45" s="111">
        <v>9</v>
      </c>
    </row>
    <row r="46" spans="1:26" ht="23.25" customHeight="1">
      <c r="A46" s="469">
        <v>10</v>
      </c>
      <c r="B46" s="698"/>
      <c r="C46" s="711"/>
      <c r="D46" s="712"/>
      <c r="E46" s="713"/>
      <c r="F46" s="485"/>
      <c r="G46" s="486"/>
      <c r="H46" s="485"/>
      <c r="I46" s="486"/>
      <c r="J46" s="132">
        <f t="shared" si="5"/>
        <v>0</v>
      </c>
      <c r="K46" s="132">
        <f t="shared" si="5"/>
        <v>0</v>
      </c>
      <c r="L46" s="133"/>
      <c r="M46" s="111">
        <v>10</v>
      </c>
    </row>
    <row r="47" spans="1:26" ht="23.25" customHeight="1" thickBot="1">
      <c r="B47" s="699" t="s">
        <v>3145</v>
      </c>
      <c r="C47" s="700"/>
      <c r="D47" s="700"/>
      <c r="E47" s="701"/>
      <c r="F47" s="134">
        <f>SUM(F37:F46)</f>
        <v>100000</v>
      </c>
      <c r="G47" s="134">
        <f>SUM(G37:G46)</f>
        <v>0</v>
      </c>
      <c r="H47" s="134">
        <f>SUM(H37:H46)</f>
        <v>0</v>
      </c>
      <c r="I47" s="134">
        <f>SUM(I37:I46)</f>
        <v>0</v>
      </c>
      <c r="J47" s="134">
        <f>SUM(J37:J46)</f>
        <v>100000</v>
      </c>
      <c r="K47" s="134">
        <f t="shared" ref="K47" si="8">SUM(K37:K46)</f>
        <v>0</v>
      </c>
      <c r="L47" s="136"/>
      <c r="M47" s="491" t="s">
        <v>3152</v>
      </c>
    </row>
    <row r="48" spans="1:26" ht="23.25" customHeight="1" thickBot="1">
      <c r="B48" s="705" t="s">
        <v>3153</v>
      </c>
      <c r="C48" s="706"/>
      <c r="D48" s="706"/>
      <c r="E48" s="707"/>
      <c r="F48" s="492">
        <f>F36+F47</f>
        <v>28352928</v>
      </c>
      <c r="G48" s="492">
        <f t="shared" ref="G48:K48" si="9">G36+G47</f>
        <v>0</v>
      </c>
      <c r="H48" s="492">
        <f t="shared" si="9"/>
        <v>20868219</v>
      </c>
      <c r="I48" s="492">
        <f t="shared" si="9"/>
        <v>0</v>
      </c>
      <c r="J48" s="492">
        <f t="shared" si="9"/>
        <v>7484709</v>
      </c>
      <c r="K48" s="492">
        <f t="shared" si="9"/>
        <v>0</v>
      </c>
      <c r="L48" s="137">
        <f>IF(F48=0,"",ROUNDDOWN(J48/F48,3))</f>
        <v>0.26300000000000001</v>
      </c>
      <c r="M48" s="138" t="str">
        <f>IF(G48=0,"",ROUNDDOWN(K48/F48,3))</f>
        <v/>
      </c>
      <c r="Q48" s="714" t="s">
        <v>3154</v>
      </c>
      <c r="R48" s="714"/>
      <c r="S48" s="714"/>
      <c r="T48" s="714"/>
      <c r="U48" s="714"/>
      <c r="V48" s="714"/>
      <c r="W48" s="714"/>
      <c r="X48" s="714"/>
      <c r="Y48" s="714"/>
      <c r="Z48" s="714"/>
    </row>
    <row r="49" spans="1:26" ht="23.25" customHeight="1">
      <c r="A49" s="469">
        <v>1</v>
      </c>
      <c r="B49" s="735" t="s">
        <v>3156</v>
      </c>
      <c r="C49" s="708" t="s">
        <v>4599</v>
      </c>
      <c r="D49" s="709"/>
      <c r="E49" s="710"/>
      <c r="F49" s="480"/>
      <c r="G49" s="481"/>
      <c r="H49" s="480">
        <v>0</v>
      </c>
      <c r="I49" s="481">
        <v>0</v>
      </c>
      <c r="J49" s="139">
        <f t="shared" ref="J49:K58" si="10">-H49</f>
        <v>0</v>
      </c>
      <c r="K49" s="139">
        <f t="shared" si="10"/>
        <v>0</v>
      </c>
      <c r="L49" s="110"/>
      <c r="M49" s="111">
        <v>1</v>
      </c>
      <c r="Q49" s="714"/>
      <c r="R49" s="714"/>
      <c r="S49" s="714"/>
      <c r="T49" s="714"/>
      <c r="U49" s="714"/>
      <c r="V49" s="714"/>
      <c r="W49" s="714"/>
      <c r="X49" s="714"/>
      <c r="Y49" s="714"/>
      <c r="Z49" s="714"/>
    </row>
    <row r="50" spans="1:26" ht="23.25" customHeight="1">
      <c r="A50" s="469">
        <v>2</v>
      </c>
      <c r="B50" s="736"/>
      <c r="C50" s="671" t="s">
        <v>5180</v>
      </c>
      <c r="D50" s="672"/>
      <c r="E50" s="673"/>
      <c r="F50" s="482">
        <v>778900</v>
      </c>
      <c r="G50" s="483"/>
      <c r="H50" s="482">
        <v>576386</v>
      </c>
      <c r="I50" s="483"/>
      <c r="J50" s="130">
        <f t="shared" si="10"/>
        <v>-576386</v>
      </c>
      <c r="K50" s="130">
        <f t="shared" si="10"/>
        <v>0</v>
      </c>
      <c r="L50" s="113"/>
      <c r="M50" s="111">
        <v>2</v>
      </c>
      <c r="Q50" s="714"/>
      <c r="R50" s="714"/>
      <c r="S50" s="714"/>
      <c r="T50" s="714"/>
      <c r="U50" s="714"/>
      <c r="V50" s="714"/>
      <c r="W50" s="714"/>
      <c r="X50" s="714"/>
      <c r="Y50" s="714"/>
      <c r="Z50" s="714"/>
    </row>
    <row r="51" spans="1:26" ht="23.25" customHeight="1">
      <c r="A51" s="469">
        <v>3</v>
      </c>
      <c r="B51" s="736"/>
      <c r="C51" s="671" t="s">
        <v>5181</v>
      </c>
      <c r="D51" s="672"/>
      <c r="E51" s="673"/>
      <c r="F51" s="482">
        <v>469422</v>
      </c>
      <c r="G51" s="483"/>
      <c r="H51" s="482">
        <v>347372</v>
      </c>
      <c r="I51" s="483"/>
      <c r="J51" s="130">
        <f t="shared" si="10"/>
        <v>-347372</v>
      </c>
      <c r="K51" s="130">
        <f t="shared" si="10"/>
        <v>0</v>
      </c>
      <c r="L51" s="113"/>
      <c r="M51" s="111">
        <v>3</v>
      </c>
      <c r="Q51" s="714"/>
      <c r="R51" s="714"/>
      <c r="S51" s="714"/>
      <c r="T51" s="714"/>
      <c r="U51" s="714"/>
      <c r="V51" s="714"/>
      <c r="W51" s="714"/>
      <c r="X51" s="714"/>
      <c r="Y51" s="714"/>
      <c r="Z51" s="714"/>
    </row>
    <row r="52" spans="1:26" ht="23.25" customHeight="1">
      <c r="A52" s="469">
        <v>4</v>
      </c>
      <c r="B52" s="736"/>
      <c r="C52" s="671" t="s">
        <v>5182</v>
      </c>
      <c r="D52" s="672"/>
      <c r="E52" s="673"/>
      <c r="F52" s="482">
        <v>486000</v>
      </c>
      <c r="G52" s="483"/>
      <c r="H52" s="482">
        <v>359640</v>
      </c>
      <c r="I52" s="483"/>
      <c r="J52" s="130">
        <f t="shared" si="10"/>
        <v>-359640</v>
      </c>
      <c r="K52" s="130">
        <f>-I52</f>
        <v>0</v>
      </c>
      <c r="L52" s="113"/>
      <c r="M52" s="111">
        <v>4</v>
      </c>
      <c r="Q52" s="714"/>
      <c r="R52" s="714"/>
      <c r="S52" s="714"/>
      <c r="T52" s="714"/>
      <c r="U52" s="714"/>
      <c r="V52" s="714"/>
      <c r="W52" s="714"/>
      <c r="X52" s="714"/>
      <c r="Y52" s="714"/>
      <c r="Z52" s="714"/>
    </row>
    <row r="53" spans="1:26" ht="23.25" customHeight="1">
      <c r="A53" s="469">
        <v>5</v>
      </c>
      <c r="B53" s="736"/>
      <c r="C53" s="671" t="s">
        <v>5183</v>
      </c>
      <c r="D53" s="672"/>
      <c r="E53" s="673"/>
      <c r="F53" s="482"/>
      <c r="G53" s="483"/>
      <c r="H53" s="482">
        <v>200000</v>
      </c>
      <c r="I53" s="483"/>
      <c r="J53" s="130">
        <f t="shared" si="10"/>
        <v>-200000</v>
      </c>
      <c r="K53" s="130">
        <f t="shared" si="10"/>
        <v>0</v>
      </c>
      <c r="L53" s="113"/>
      <c r="M53" s="111">
        <v>5</v>
      </c>
    </row>
    <row r="54" spans="1:26" ht="23.25" customHeight="1">
      <c r="A54" s="469">
        <v>6</v>
      </c>
      <c r="B54" s="736"/>
      <c r="C54" s="671"/>
      <c r="D54" s="672"/>
      <c r="E54" s="673"/>
      <c r="F54" s="482"/>
      <c r="G54" s="483"/>
      <c r="H54" s="482"/>
      <c r="I54" s="483"/>
      <c r="J54" s="130">
        <f t="shared" si="10"/>
        <v>0</v>
      </c>
      <c r="K54" s="130">
        <f t="shared" si="10"/>
        <v>0</v>
      </c>
      <c r="L54" s="113"/>
      <c r="M54" s="111">
        <v>6</v>
      </c>
    </row>
    <row r="55" spans="1:26" ht="23.25" customHeight="1">
      <c r="A55" s="469">
        <v>7</v>
      </c>
      <c r="B55" s="736"/>
      <c r="C55" s="671"/>
      <c r="D55" s="672"/>
      <c r="E55" s="673"/>
      <c r="F55" s="482"/>
      <c r="G55" s="483"/>
      <c r="H55" s="482"/>
      <c r="I55" s="483"/>
      <c r="J55" s="130">
        <f t="shared" si="10"/>
        <v>0</v>
      </c>
      <c r="K55" s="130">
        <f t="shared" si="10"/>
        <v>0</v>
      </c>
      <c r="L55" s="113"/>
      <c r="M55" s="111">
        <v>7</v>
      </c>
    </row>
    <row r="56" spans="1:26" ht="23.25" customHeight="1">
      <c r="A56" s="469">
        <v>8</v>
      </c>
      <c r="B56" s="736"/>
      <c r="C56" s="671"/>
      <c r="D56" s="672"/>
      <c r="E56" s="673"/>
      <c r="F56" s="482"/>
      <c r="G56" s="483"/>
      <c r="H56" s="482"/>
      <c r="I56" s="483"/>
      <c r="J56" s="130">
        <f t="shared" si="10"/>
        <v>0</v>
      </c>
      <c r="K56" s="130">
        <f t="shared" si="10"/>
        <v>0</v>
      </c>
      <c r="L56" s="113"/>
      <c r="M56" s="111">
        <v>8</v>
      </c>
    </row>
    <row r="57" spans="1:26" ht="23.25" customHeight="1">
      <c r="A57" s="469">
        <v>9</v>
      </c>
      <c r="B57" s="736"/>
      <c r="C57" s="671"/>
      <c r="D57" s="672"/>
      <c r="E57" s="673"/>
      <c r="F57" s="482"/>
      <c r="G57" s="483"/>
      <c r="H57" s="482"/>
      <c r="I57" s="483"/>
      <c r="J57" s="130">
        <f t="shared" si="10"/>
        <v>0</v>
      </c>
      <c r="K57" s="130">
        <f t="shared" si="10"/>
        <v>0</v>
      </c>
      <c r="L57" s="113"/>
      <c r="M57" s="111">
        <v>9</v>
      </c>
    </row>
    <row r="58" spans="1:26" ht="23.25" customHeight="1" thickBot="1">
      <c r="A58" s="469">
        <v>10</v>
      </c>
      <c r="B58" s="736"/>
      <c r="C58" s="715"/>
      <c r="D58" s="716"/>
      <c r="E58" s="717"/>
      <c r="F58" s="482"/>
      <c r="G58" s="493"/>
      <c r="H58" s="494"/>
      <c r="I58" s="493"/>
      <c r="J58" s="140">
        <f t="shared" si="10"/>
        <v>0</v>
      </c>
      <c r="K58" s="140">
        <f t="shared" si="10"/>
        <v>0</v>
      </c>
      <c r="L58" s="141"/>
      <c r="M58" s="111">
        <v>10</v>
      </c>
    </row>
    <row r="59" spans="1:26" ht="23.25" customHeight="1" thickBot="1">
      <c r="B59" s="736"/>
      <c r="C59" s="725" t="s">
        <v>2924</v>
      </c>
      <c r="D59" s="726"/>
      <c r="E59" s="727"/>
      <c r="F59" s="142" t="s">
        <v>3157</v>
      </c>
      <c r="G59" s="495" t="s">
        <v>3089</v>
      </c>
      <c r="H59" s="496">
        <v>100000</v>
      </c>
      <c r="I59" s="497">
        <v>0</v>
      </c>
      <c r="J59" s="143">
        <f>-H59</f>
        <v>-100000</v>
      </c>
      <c r="K59" s="143">
        <f>-I59</f>
        <v>0</v>
      </c>
      <c r="L59" s="144"/>
    </row>
    <row r="60" spans="1:26" ht="23.25" customHeight="1" thickBot="1">
      <c r="B60" s="736"/>
      <c r="C60" s="725" t="s">
        <v>3158</v>
      </c>
      <c r="D60" s="726"/>
      <c r="E60" s="727"/>
      <c r="F60" s="496">
        <v>0</v>
      </c>
      <c r="G60" s="498">
        <v>0</v>
      </c>
      <c r="H60" s="146"/>
      <c r="I60" s="147"/>
      <c r="J60" s="148">
        <f>F60</f>
        <v>0</v>
      </c>
      <c r="K60" s="147"/>
      <c r="L60" s="149"/>
      <c r="M60" s="728" t="s">
        <v>3159</v>
      </c>
      <c r="N60" s="729"/>
    </row>
    <row r="61" spans="1:26" ht="24" thickBot="1">
      <c r="B61" s="732" t="s">
        <v>3160</v>
      </c>
      <c r="C61" s="733"/>
      <c r="D61" s="733"/>
      <c r="E61" s="734"/>
      <c r="F61" s="150">
        <f>SUM(F60)</f>
        <v>0</v>
      </c>
      <c r="G61" s="150">
        <f>SUM(G60)</f>
        <v>0</v>
      </c>
      <c r="H61" s="150">
        <f>SUM(H49:H60)</f>
        <v>1583398</v>
      </c>
      <c r="I61" s="150">
        <f>SUM(I49:I60)</f>
        <v>0</v>
      </c>
      <c r="J61" s="150">
        <f>SUM(J49:J60)</f>
        <v>-1583398</v>
      </c>
      <c r="K61" s="150">
        <f>SUM(K49:K60)</f>
        <v>0</v>
      </c>
      <c r="L61" s="151"/>
      <c r="M61" s="730"/>
      <c r="N61" s="731"/>
    </row>
    <row r="62" spans="1:26" ht="31.5" thickTop="1" thickBot="1">
      <c r="A62" s="478"/>
      <c r="B62" s="718" t="s">
        <v>3161</v>
      </c>
      <c r="C62" s="719"/>
      <c r="D62" s="719"/>
      <c r="E62" s="720"/>
      <c r="F62" s="499">
        <f t="shared" ref="F62:K62" si="11">F48+F61</f>
        <v>28352928</v>
      </c>
      <c r="G62" s="499">
        <f t="shared" si="11"/>
        <v>0</v>
      </c>
      <c r="H62" s="499">
        <f t="shared" si="11"/>
        <v>22451617</v>
      </c>
      <c r="I62" s="499">
        <f t="shared" si="11"/>
        <v>0</v>
      </c>
      <c r="J62" s="499">
        <f t="shared" si="11"/>
        <v>5901311</v>
      </c>
      <c r="K62" s="499">
        <f t="shared" si="11"/>
        <v>0</v>
      </c>
      <c r="L62" s="152">
        <f>IF(F62=0,"",ROUNDDOWN(J62/F62,3))</f>
        <v>0.20799999999999999</v>
      </c>
      <c r="M62" s="153" t="s">
        <v>3162</v>
      </c>
      <c r="N62" s="500" t="s">
        <v>3163</v>
      </c>
      <c r="Q62" s="714" t="s">
        <v>3154</v>
      </c>
      <c r="R62" s="714"/>
      <c r="S62" s="714"/>
      <c r="T62" s="714"/>
      <c r="U62" s="714"/>
      <c r="V62" s="714"/>
      <c r="W62" s="714"/>
      <c r="X62" s="714"/>
      <c r="Y62" s="714"/>
      <c r="Z62" s="714"/>
    </row>
    <row r="63" spans="1:26" ht="24" thickTop="1">
      <c r="A63" s="469">
        <v>1</v>
      </c>
      <c r="B63" s="721" t="s">
        <v>3164</v>
      </c>
      <c r="C63" s="722" t="s">
        <v>4596</v>
      </c>
      <c r="D63" s="723"/>
      <c r="E63" s="724"/>
      <c r="F63" s="489">
        <v>638000</v>
      </c>
      <c r="G63" s="490">
        <v>0</v>
      </c>
      <c r="H63" s="489">
        <v>510400</v>
      </c>
      <c r="I63" s="490">
        <v>0</v>
      </c>
      <c r="J63" s="128">
        <f>F63-H63</f>
        <v>127600</v>
      </c>
      <c r="K63" s="128">
        <f>G63-I63</f>
        <v>0</v>
      </c>
      <c r="L63" s="154">
        <f>IF(F63=0,"",ROUNDDOWN(J63/F63,3))</f>
        <v>0.2</v>
      </c>
      <c r="M63" s="155" t="str">
        <f>IF(G63=0,"",ROUNDDOWN(K63/G63,3))</f>
        <v/>
      </c>
      <c r="N63" s="156">
        <v>0.2</v>
      </c>
      <c r="O63" s="111">
        <v>1</v>
      </c>
      <c r="Q63" s="714"/>
      <c r="R63" s="714"/>
      <c r="S63" s="714"/>
      <c r="T63" s="714"/>
      <c r="U63" s="714"/>
      <c r="V63" s="714"/>
      <c r="W63" s="714"/>
      <c r="X63" s="714"/>
      <c r="Y63" s="714"/>
      <c r="Z63" s="714"/>
    </row>
    <row r="64" spans="1:26">
      <c r="A64" s="469">
        <v>2</v>
      </c>
      <c r="B64" s="698"/>
      <c r="C64" s="671" t="s">
        <v>5193</v>
      </c>
      <c r="D64" s="672"/>
      <c r="E64" s="673"/>
      <c r="F64" s="482">
        <v>125000</v>
      </c>
      <c r="G64" s="483"/>
      <c r="H64" s="482">
        <v>100000</v>
      </c>
      <c r="I64" s="483"/>
      <c r="J64" s="130">
        <f>F64-H64</f>
        <v>25000</v>
      </c>
      <c r="K64" s="130">
        <f>G64-I64</f>
        <v>0</v>
      </c>
      <c r="L64" s="157">
        <f>IF(F64=0,"",ROUNDDOWN(J64/F64,3))</f>
        <v>0.2</v>
      </c>
      <c r="M64" s="158" t="str">
        <f t="shared" ref="M64:M71" si="12">IF(G64=0,"",ROUNDDOWN(K64/G64,3))</f>
        <v/>
      </c>
      <c r="N64" s="159">
        <v>0.2</v>
      </c>
      <c r="O64" s="111">
        <v>2</v>
      </c>
      <c r="Q64" s="714"/>
      <c r="R64" s="714"/>
      <c r="S64" s="714"/>
      <c r="T64" s="714"/>
      <c r="U64" s="714"/>
      <c r="V64" s="714"/>
      <c r="W64" s="714"/>
      <c r="X64" s="714"/>
      <c r="Y64" s="714"/>
      <c r="Z64" s="714"/>
    </row>
    <row r="65" spans="1:26">
      <c r="A65" s="469">
        <v>3</v>
      </c>
      <c r="B65" s="698"/>
      <c r="C65" s="671" t="s">
        <v>2776</v>
      </c>
      <c r="D65" s="672"/>
      <c r="E65" s="673"/>
      <c r="F65" s="482"/>
      <c r="G65" s="483"/>
      <c r="H65" s="482"/>
      <c r="I65" s="483"/>
      <c r="J65" s="130">
        <f t="shared" ref="J65:K72" si="13">F65-H65</f>
        <v>0</v>
      </c>
      <c r="K65" s="130">
        <f t="shared" si="13"/>
        <v>0</v>
      </c>
      <c r="L65" s="157" t="str">
        <f t="shared" ref="L65:L71" si="14">IF(F65=0,"",ROUNDDOWN(J65/F65,3))</f>
        <v/>
      </c>
      <c r="M65" s="158" t="str">
        <f t="shared" si="12"/>
        <v/>
      </c>
      <c r="N65" s="159">
        <v>0.2</v>
      </c>
      <c r="O65" s="111">
        <v>3</v>
      </c>
      <c r="Q65" s="714"/>
      <c r="R65" s="714"/>
      <c r="S65" s="714"/>
      <c r="T65" s="714"/>
      <c r="U65" s="714"/>
      <c r="V65" s="714"/>
      <c r="W65" s="714"/>
      <c r="X65" s="714"/>
      <c r="Y65" s="714"/>
      <c r="Z65" s="714"/>
    </row>
    <row r="66" spans="1:26">
      <c r="A66" s="469">
        <v>4</v>
      </c>
      <c r="B66" s="698"/>
      <c r="C66" s="671" t="s">
        <v>5189</v>
      </c>
      <c r="D66" s="672"/>
      <c r="E66" s="673"/>
      <c r="F66" s="482"/>
      <c r="G66" s="483"/>
      <c r="H66" s="482"/>
      <c r="I66" s="483"/>
      <c r="J66" s="130">
        <f t="shared" si="13"/>
        <v>0</v>
      </c>
      <c r="K66" s="130">
        <f t="shared" si="13"/>
        <v>0</v>
      </c>
      <c r="L66" s="157" t="str">
        <f t="shared" si="14"/>
        <v/>
      </c>
      <c r="M66" s="158" t="str">
        <f t="shared" si="12"/>
        <v/>
      </c>
      <c r="N66" s="159">
        <v>0.2</v>
      </c>
      <c r="O66" s="111">
        <v>4</v>
      </c>
      <c r="Q66" s="714"/>
      <c r="R66" s="714"/>
      <c r="S66" s="714"/>
      <c r="T66" s="714"/>
      <c r="U66" s="714"/>
      <c r="V66" s="714"/>
      <c r="W66" s="714"/>
      <c r="X66" s="714"/>
      <c r="Y66" s="714"/>
      <c r="Z66" s="714"/>
    </row>
    <row r="67" spans="1:26">
      <c r="A67" s="469">
        <v>5</v>
      </c>
      <c r="B67" s="698"/>
      <c r="C67" s="671" t="s">
        <v>5190</v>
      </c>
      <c r="D67" s="672"/>
      <c r="E67" s="673"/>
      <c r="F67" s="482">
        <v>250000</v>
      </c>
      <c r="G67" s="483"/>
      <c r="H67" s="482">
        <v>212500</v>
      </c>
      <c r="I67" s="483"/>
      <c r="J67" s="130">
        <f t="shared" si="13"/>
        <v>37500</v>
      </c>
      <c r="K67" s="130">
        <f>G67-I67</f>
        <v>0</v>
      </c>
      <c r="L67" s="157">
        <f t="shared" si="14"/>
        <v>0.15</v>
      </c>
      <c r="M67" s="158" t="str">
        <f t="shared" si="12"/>
        <v/>
      </c>
      <c r="N67" s="159">
        <v>0.2</v>
      </c>
      <c r="O67" s="111">
        <v>5</v>
      </c>
    </row>
    <row r="68" spans="1:26">
      <c r="A68" s="469">
        <v>6</v>
      </c>
      <c r="B68" s="698"/>
      <c r="C68" s="671"/>
      <c r="D68" s="672"/>
      <c r="E68" s="673"/>
      <c r="F68" s="482"/>
      <c r="G68" s="483"/>
      <c r="H68" s="482"/>
      <c r="I68" s="483"/>
      <c r="J68" s="130">
        <f t="shared" si="13"/>
        <v>0</v>
      </c>
      <c r="K68" s="130">
        <f>G68-I68</f>
        <v>0</v>
      </c>
      <c r="L68" s="157" t="str">
        <f t="shared" si="14"/>
        <v/>
      </c>
      <c r="M68" s="158" t="str">
        <f t="shared" si="12"/>
        <v/>
      </c>
      <c r="N68" s="159">
        <v>0.2</v>
      </c>
      <c r="O68" s="111">
        <v>6</v>
      </c>
    </row>
    <row r="69" spans="1:26">
      <c r="A69" s="469">
        <v>7</v>
      </c>
      <c r="B69" s="698"/>
      <c r="C69" s="671"/>
      <c r="D69" s="672"/>
      <c r="E69" s="673"/>
      <c r="F69" s="482"/>
      <c r="G69" s="483"/>
      <c r="H69" s="482"/>
      <c r="I69" s="483"/>
      <c r="J69" s="130">
        <f t="shared" si="13"/>
        <v>0</v>
      </c>
      <c r="K69" s="130">
        <f>G69-I69</f>
        <v>0</v>
      </c>
      <c r="L69" s="157" t="str">
        <f t="shared" si="14"/>
        <v/>
      </c>
      <c r="M69" s="158" t="str">
        <f t="shared" si="12"/>
        <v/>
      </c>
      <c r="N69" s="159">
        <v>0.2</v>
      </c>
      <c r="O69" s="111">
        <v>7</v>
      </c>
    </row>
    <row r="70" spans="1:26">
      <c r="A70" s="469">
        <v>8</v>
      </c>
      <c r="B70" s="698"/>
      <c r="C70" s="671"/>
      <c r="D70" s="672"/>
      <c r="E70" s="673"/>
      <c r="F70" s="482"/>
      <c r="G70" s="483"/>
      <c r="H70" s="482"/>
      <c r="I70" s="483"/>
      <c r="J70" s="130">
        <f t="shared" si="13"/>
        <v>0</v>
      </c>
      <c r="K70" s="130">
        <f>G70-I70</f>
        <v>0</v>
      </c>
      <c r="L70" s="157" t="str">
        <f t="shared" si="14"/>
        <v/>
      </c>
      <c r="M70" s="158" t="str">
        <f t="shared" si="12"/>
        <v/>
      </c>
      <c r="N70" s="159">
        <v>0.2</v>
      </c>
      <c r="O70" s="111">
        <v>8</v>
      </c>
    </row>
    <row r="71" spans="1:26">
      <c r="A71" s="469">
        <v>9</v>
      </c>
      <c r="B71" s="698"/>
      <c r="C71" s="671"/>
      <c r="D71" s="672"/>
      <c r="E71" s="673"/>
      <c r="F71" s="482"/>
      <c r="G71" s="483"/>
      <c r="H71" s="482"/>
      <c r="I71" s="483"/>
      <c r="J71" s="130">
        <f t="shared" si="13"/>
        <v>0</v>
      </c>
      <c r="K71" s="130">
        <f t="shared" si="13"/>
        <v>0</v>
      </c>
      <c r="L71" s="157" t="str">
        <f t="shared" si="14"/>
        <v/>
      </c>
      <c r="M71" s="158" t="str">
        <f t="shared" si="12"/>
        <v/>
      </c>
      <c r="N71" s="159">
        <v>0.2</v>
      </c>
      <c r="O71" s="111">
        <v>9</v>
      </c>
    </row>
    <row r="72" spans="1:26">
      <c r="A72" s="469">
        <v>10</v>
      </c>
      <c r="B72" s="698"/>
      <c r="C72" s="711"/>
      <c r="D72" s="712"/>
      <c r="E72" s="713"/>
      <c r="F72" s="485"/>
      <c r="G72" s="486"/>
      <c r="H72" s="485"/>
      <c r="I72" s="486"/>
      <c r="J72" s="132">
        <f t="shared" si="13"/>
        <v>0</v>
      </c>
      <c r="K72" s="132">
        <f>G72-I72</f>
        <v>0</v>
      </c>
      <c r="L72" s="160" t="str">
        <f>IF(F72=0,"",ROUNDDOWN(J72/F72,3))</f>
        <v/>
      </c>
      <c r="M72" s="161" t="str">
        <f>IF(G72=0,"",ROUNDDOWN(K72/G72,3))</f>
        <v/>
      </c>
      <c r="N72" s="162">
        <v>0.2</v>
      </c>
      <c r="O72" s="111">
        <v>10</v>
      </c>
    </row>
    <row r="73" spans="1:26" ht="24" thickBot="1">
      <c r="B73" s="699" t="s">
        <v>3145</v>
      </c>
      <c r="C73" s="700"/>
      <c r="D73" s="700"/>
      <c r="E73" s="701"/>
      <c r="F73" s="134">
        <f>SUM(F63:F72)</f>
        <v>1013000</v>
      </c>
      <c r="G73" s="134">
        <f t="shared" ref="G73:K73" si="15">SUM(G63:G72)</f>
        <v>0</v>
      </c>
      <c r="H73" s="134">
        <f>SUM(H63:H72)</f>
        <v>822900</v>
      </c>
      <c r="I73" s="134">
        <f t="shared" si="15"/>
        <v>0</v>
      </c>
      <c r="J73" s="134">
        <f>SUM(J63:J72)</f>
        <v>190100</v>
      </c>
      <c r="K73" s="134">
        <f t="shared" si="15"/>
        <v>0</v>
      </c>
      <c r="L73" s="163"/>
      <c r="M73" s="501"/>
      <c r="N73" s="502"/>
    </row>
    <row r="74" spans="1:26" s="471" customFormat="1" ht="11.25">
      <c r="L74" s="164"/>
      <c r="M74" s="164"/>
    </row>
    <row r="75" spans="1:26">
      <c r="A75" s="469">
        <v>9</v>
      </c>
      <c r="B75" s="471"/>
      <c r="C75" s="737" t="s">
        <v>3165</v>
      </c>
      <c r="D75" s="738"/>
      <c r="E75" s="739"/>
      <c r="F75" s="503" t="s">
        <v>3629</v>
      </c>
      <c r="G75" s="504">
        <f>G6</f>
        <v>136.21</v>
      </c>
      <c r="H75" s="165">
        <f>IF(D7="クレバリーホーム",G6*2000,0)</f>
        <v>0</v>
      </c>
      <c r="I75" s="505"/>
      <c r="J75" s="505"/>
      <c r="K75" s="505"/>
      <c r="L75" s="506"/>
      <c r="M75" s="164"/>
      <c r="N75" s="471"/>
    </row>
    <row r="76" spans="1:26" s="471" customFormat="1" ht="12" thickBot="1">
      <c r="L76" s="164"/>
      <c r="M76" s="164"/>
    </row>
    <row r="77" spans="1:26" ht="31.5" thickTop="1" thickBot="1">
      <c r="A77" s="478"/>
      <c r="B77" s="718" t="s">
        <v>3166</v>
      </c>
      <c r="C77" s="719"/>
      <c r="D77" s="719"/>
      <c r="E77" s="720"/>
      <c r="F77" s="499">
        <f>F62+F73</f>
        <v>29365928</v>
      </c>
      <c r="G77" s="499">
        <f>G62+G73</f>
        <v>0</v>
      </c>
      <c r="H77" s="499">
        <f>H62+H73+H75</f>
        <v>23274517</v>
      </c>
      <c r="I77" s="499">
        <f>I62+I73</f>
        <v>0</v>
      </c>
      <c r="J77" s="499">
        <f>F77-H77</f>
        <v>6091411</v>
      </c>
      <c r="K77" s="499">
        <f>G77-I77</f>
        <v>0</v>
      </c>
      <c r="L77" s="152">
        <f>IF(F77=0,"",ROUNDDOWN(J77/F77,3))</f>
        <v>0.20699999999999999</v>
      </c>
      <c r="M77" s="476"/>
    </row>
    <row r="78" spans="1:26" s="471" customFormat="1" ht="12" thickTop="1">
      <c r="L78" s="164"/>
      <c r="M78" s="740" t="s">
        <v>3124</v>
      </c>
      <c r="N78" s="740"/>
    </row>
    <row r="79" spans="1:26" ht="24" thickBot="1">
      <c r="G79" s="476" t="s">
        <v>3167</v>
      </c>
      <c r="H79" s="476" t="s">
        <v>3168</v>
      </c>
      <c r="I79" s="476" t="s">
        <v>3138</v>
      </c>
      <c r="J79" s="476"/>
      <c r="K79" s="476" t="s">
        <v>3169</v>
      </c>
      <c r="L79" s="145" t="s">
        <v>3170</v>
      </c>
      <c r="M79" s="740"/>
      <c r="N79" s="740"/>
    </row>
    <row r="80" spans="1:26" ht="31.5" thickTop="1" thickBot="1">
      <c r="A80" s="478"/>
      <c r="B80" s="741" t="s">
        <v>3171</v>
      </c>
      <c r="C80" s="742"/>
      <c r="D80" s="742"/>
      <c r="E80" s="743"/>
      <c r="F80" s="507">
        <f>F77</f>
        <v>29365928</v>
      </c>
      <c r="G80" s="508">
        <v>0</v>
      </c>
      <c r="H80" s="507">
        <f>F80+G80</f>
        <v>29365928</v>
      </c>
      <c r="I80" s="509">
        <f>I77</f>
        <v>0</v>
      </c>
      <c r="K80" s="510">
        <f>H80-I80</f>
        <v>29365928</v>
      </c>
      <c r="L80" s="166">
        <f>IF(H80=0,"",ROUNDDOWN(K80/H80,3))</f>
        <v>1</v>
      </c>
      <c r="M80" s="740"/>
      <c r="N80" s="740"/>
    </row>
    <row r="81" spans="1:21" s="471" customFormat="1" ht="12.75" thickTop="1" thickBot="1">
      <c r="L81" s="164"/>
      <c r="M81" s="164"/>
    </row>
    <row r="82" spans="1:21" ht="31.5" thickTop="1" thickBot="1">
      <c r="A82" s="478"/>
      <c r="B82" s="744" t="s">
        <v>3172</v>
      </c>
      <c r="C82" s="745"/>
      <c r="D82" s="746"/>
      <c r="E82" s="511" t="s">
        <v>3173</v>
      </c>
      <c r="F82" s="512">
        <f>ROUNDDOWN(F80*G82,0)</f>
        <v>2936592</v>
      </c>
      <c r="G82" s="513">
        <f>消費税率/100</f>
        <v>0.1</v>
      </c>
      <c r="H82" s="514" t="s">
        <v>3174</v>
      </c>
      <c r="I82" s="750"/>
      <c r="J82" s="751"/>
      <c r="K82" s="751"/>
      <c r="L82" s="751"/>
      <c r="M82" s="751"/>
      <c r="N82" s="751"/>
      <c r="O82" s="752"/>
      <c r="R82" s="469" t="s">
        <v>3175</v>
      </c>
    </row>
    <row r="83" spans="1:21" ht="30.75" thickTop="1">
      <c r="A83" s="478"/>
      <c r="B83" s="747"/>
      <c r="C83" s="748"/>
      <c r="D83" s="749"/>
      <c r="E83" s="515" t="s">
        <v>3176</v>
      </c>
      <c r="F83" s="516">
        <f>F80+F82</f>
        <v>32302520</v>
      </c>
      <c r="G83" s="517" t="s">
        <v>3177</v>
      </c>
      <c r="I83" s="753"/>
      <c r="J83" s="754"/>
      <c r="K83" s="754"/>
      <c r="L83" s="754"/>
      <c r="M83" s="754"/>
      <c r="N83" s="754"/>
      <c r="O83" s="755"/>
      <c r="R83" s="518" t="s">
        <v>3178</v>
      </c>
      <c r="S83" s="519">
        <f>F62</f>
        <v>28352928</v>
      </c>
      <c r="T83" s="519">
        <f>J62</f>
        <v>5901311</v>
      </c>
      <c r="U83" s="167">
        <f>ROUNDDOWN(T83/S83,3)</f>
        <v>0.20799999999999999</v>
      </c>
    </row>
    <row r="84" spans="1:21" ht="30.75" thickBot="1">
      <c r="A84" s="478"/>
      <c r="B84" s="759" t="s">
        <v>3179</v>
      </c>
      <c r="C84" s="760"/>
      <c r="D84" s="760"/>
      <c r="E84" s="761"/>
      <c r="F84" s="520">
        <f>請負金額_税込</f>
        <v>39732317</v>
      </c>
      <c r="G84" s="517" t="s">
        <v>3180</v>
      </c>
      <c r="I84" s="753"/>
      <c r="J84" s="754"/>
      <c r="K84" s="754"/>
      <c r="L84" s="754"/>
      <c r="M84" s="754"/>
      <c r="N84" s="754"/>
      <c r="O84" s="755"/>
      <c r="R84" s="518" t="s">
        <v>3181</v>
      </c>
      <c r="S84" s="519">
        <f>F77</f>
        <v>29365928</v>
      </c>
      <c r="T84" s="519">
        <f>J77</f>
        <v>6091411</v>
      </c>
      <c r="U84" s="167">
        <f>ROUNDDOWN(T84/S84,3)</f>
        <v>0.20699999999999999</v>
      </c>
    </row>
    <row r="85" spans="1:21" ht="31.5" thickTop="1" thickBot="1">
      <c r="A85" s="478"/>
      <c r="B85" s="762" t="s">
        <v>3182</v>
      </c>
      <c r="C85" s="763"/>
      <c r="D85" s="763"/>
      <c r="E85" s="764"/>
      <c r="F85" s="509">
        <f>F84-F83</f>
        <v>7429797</v>
      </c>
      <c r="G85" s="517"/>
      <c r="I85" s="756"/>
      <c r="J85" s="757"/>
      <c r="K85" s="757"/>
      <c r="L85" s="757"/>
      <c r="M85" s="757"/>
      <c r="N85" s="757"/>
      <c r="O85" s="758"/>
    </row>
    <row r="86" spans="1:21" ht="24" thickTop="1"/>
    <row r="87" spans="1:21">
      <c r="G87" s="675" t="s">
        <v>3125</v>
      </c>
      <c r="H87" s="675"/>
      <c r="I87" s="675"/>
      <c r="J87" s="675"/>
      <c r="K87" s="675"/>
      <c r="L87" s="469"/>
      <c r="M87" s="521">
        <f>R1</f>
        <v>282085</v>
      </c>
      <c r="N87" s="469" t="s">
        <v>3068</v>
      </c>
      <c r="P87" s="469"/>
    </row>
    <row r="88" spans="1:21" ht="23.25" customHeight="1">
      <c r="G88" s="675"/>
      <c r="H88" s="675"/>
      <c r="I88" s="675"/>
      <c r="J88" s="675"/>
      <c r="K88" s="675"/>
      <c r="L88" s="549"/>
      <c r="M88" s="669" t="str">
        <f>IF(M87&lt;&gt;"",HYPERLINK("https://nextoffice.next-hd.co.jp/pleasanter/items/"&amp;M87&amp;"/edit#FieldSetGeneral","▶▶▶粗利益計算書を開く"),"✕✕✕ 粗利益計算書は未登録")</f>
        <v>▶▶▶粗利益計算書を開く</v>
      </c>
      <c r="N88" s="669"/>
      <c r="O88" s="669"/>
      <c r="P88" s="669"/>
      <c r="Q88" s="669"/>
    </row>
    <row r="89" spans="1:21" ht="23.25" customHeight="1">
      <c r="G89" s="675"/>
      <c r="H89" s="675"/>
      <c r="I89" s="675"/>
      <c r="J89" s="675"/>
      <c r="K89" s="675"/>
      <c r="L89" s="549"/>
      <c r="M89" s="669"/>
      <c r="N89" s="669"/>
      <c r="O89" s="669"/>
      <c r="P89" s="669"/>
      <c r="Q89" s="669"/>
    </row>
    <row r="90" spans="1:21">
      <c r="G90" s="675"/>
      <c r="H90" s="675"/>
      <c r="I90" s="675"/>
      <c r="J90" s="675"/>
      <c r="K90" s="675"/>
      <c r="M90" s="469"/>
      <c r="N90" s="484"/>
    </row>
    <row r="91" spans="1:21">
      <c r="G91" s="675"/>
      <c r="H91" s="675"/>
      <c r="I91" s="675"/>
      <c r="J91" s="675"/>
      <c r="K91" s="675"/>
    </row>
    <row r="92" spans="1:21">
      <c r="G92" s="675"/>
      <c r="H92" s="675"/>
      <c r="I92" s="675"/>
      <c r="J92" s="675"/>
      <c r="K92" s="675"/>
    </row>
    <row r="93" spans="1:21">
      <c r="G93" s="675"/>
      <c r="H93" s="675"/>
      <c r="I93" s="675"/>
      <c r="J93" s="675"/>
      <c r="K93" s="675"/>
    </row>
    <row r="94" spans="1:21">
      <c r="G94" s="675"/>
      <c r="H94" s="675"/>
      <c r="I94" s="675"/>
      <c r="J94" s="675"/>
      <c r="K94" s="675"/>
    </row>
  </sheetData>
  <mergeCells count="103">
    <mergeCell ref="G87:K94"/>
    <mergeCell ref="C71:E71"/>
    <mergeCell ref="C72:E72"/>
    <mergeCell ref="B73:E73"/>
    <mergeCell ref="C75:E75"/>
    <mergeCell ref="B77:E77"/>
    <mergeCell ref="M78:N80"/>
    <mergeCell ref="B80:E80"/>
    <mergeCell ref="M88:Q89"/>
    <mergeCell ref="B82:D83"/>
    <mergeCell ref="I82:O85"/>
    <mergeCell ref="B84:E84"/>
    <mergeCell ref="B85:E85"/>
    <mergeCell ref="B62:E62"/>
    <mergeCell ref="C55:E55"/>
    <mergeCell ref="C56:E56"/>
    <mergeCell ref="C57:E57"/>
    <mergeCell ref="Q62:Z66"/>
    <mergeCell ref="B63:B72"/>
    <mergeCell ref="C63:E63"/>
    <mergeCell ref="C64:E64"/>
    <mergeCell ref="C65:E65"/>
    <mergeCell ref="C66:E66"/>
    <mergeCell ref="C67:E67"/>
    <mergeCell ref="C68:E68"/>
    <mergeCell ref="C69:E69"/>
    <mergeCell ref="C70:E70"/>
    <mergeCell ref="C59:E59"/>
    <mergeCell ref="C60:E60"/>
    <mergeCell ref="M60:N61"/>
    <mergeCell ref="B61:E61"/>
    <mergeCell ref="B49:B60"/>
    <mergeCell ref="Q36:Z42"/>
    <mergeCell ref="C58:E58"/>
    <mergeCell ref="C52:E52"/>
    <mergeCell ref="C53:E53"/>
    <mergeCell ref="C54:E54"/>
    <mergeCell ref="Q48:Z52"/>
    <mergeCell ref="C51:E51"/>
    <mergeCell ref="C49:E49"/>
    <mergeCell ref="C50:E50"/>
    <mergeCell ref="B37:B46"/>
    <mergeCell ref="C37:E37"/>
    <mergeCell ref="C29:E29"/>
    <mergeCell ref="C30:E30"/>
    <mergeCell ref="B47:E47"/>
    <mergeCell ref="B48:E48"/>
    <mergeCell ref="C31:E31"/>
    <mergeCell ref="C34:E34"/>
    <mergeCell ref="B35:E35"/>
    <mergeCell ref="B36:E36"/>
    <mergeCell ref="C41:E41"/>
    <mergeCell ref="C42:E42"/>
    <mergeCell ref="C43:E43"/>
    <mergeCell ref="C46:E46"/>
    <mergeCell ref="C38:E38"/>
    <mergeCell ref="C39:E39"/>
    <mergeCell ref="C40:E40"/>
    <mergeCell ref="C44:E44"/>
    <mergeCell ref="C45:E45"/>
    <mergeCell ref="B12:B21"/>
    <mergeCell ref="B22:E22"/>
    <mergeCell ref="B23:E23"/>
    <mergeCell ref="B24:E24"/>
    <mergeCell ref="B25:B34"/>
    <mergeCell ref="C25:E25"/>
    <mergeCell ref="C26:E26"/>
    <mergeCell ref="C27:E27"/>
    <mergeCell ref="C18:E18"/>
    <mergeCell ref="C32:E32"/>
    <mergeCell ref="C33:E33"/>
    <mergeCell ref="C28:E28"/>
    <mergeCell ref="C16:E16"/>
    <mergeCell ref="C17:E17"/>
    <mergeCell ref="C12:E12"/>
    <mergeCell ref="C13:E13"/>
    <mergeCell ref="C20:E20"/>
    <mergeCell ref="C21:E21"/>
    <mergeCell ref="C19:E19"/>
    <mergeCell ref="R2:S3"/>
    <mergeCell ref="Q13:R13"/>
    <mergeCell ref="C14:E14"/>
    <mergeCell ref="Q14:R15"/>
    <mergeCell ref="C15:E15"/>
    <mergeCell ref="Q5:U12"/>
    <mergeCell ref="B6:C6"/>
    <mergeCell ref="D6:E6"/>
    <mergeCell ref="J6:L6"/>
    <mergeCell ref="B7:C7"/>
    <mergeCell ref="D7:E7"/>
    <mergeCell ref="J7:L7"/>
    <mergeCell ref="B8:C8"/>
    <mergeCell ref="D8:E8"/>
    <mergeCell ref="M8:N9"/>
    <mergeCell ref="H1:N3"/>
    <mergeCell ref="B5:C5"/>
    <mergeCell ref="D5:E5"/>
    <mergeCell ref="J5:L5"/>
    <mergeCell ref="B1:G3"/>
    <mergeCell ref="M5:N7"/>
    <mergeCell ref="B10:E10"/>
    <mergeCell ref="M10:N11"/>
    <mergeCell ref="B11:E11"/>
  </mergeCells>
  <phoneticPr fontId="1"/>
  <dataValidations count="1">
    <dataValidation type="list" allowBlank="1" showInputMessage="1" sqref="G59" xr:uid="{91517A6C-2AE4-4B24-8550-D8D4C188E437}">
      <formula1>"ユーザー,スーモカウンター,社内紹介,賢匠会,不動産,業者,その他"</formula1>
    </dataValidation>
  </dataValidations>
  <printOptions horizontalCentered="1" verticalCentered="1"/>
  <pageMargins left="0.19685039370078741" right="0.19685039370078741" top="0.19685039370078741" bottom="0.19685039370078741" header="0" footer="0"/>
  <pageSetup paperSize="9" scale="4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1746" r:id="rId4" name="Button 2">
              <controlPr defaultSize="0" print="0" autoFill="0" autoPict="0" macro="[0]!SheetToPdfSave2">
                <anchor moveWithCells="1" sizeWithCells="1">
                  <from>
                    <xdr:col>12</xdr:col>
                    <xdr:colOff>342900</xdr:colOff>
                    <xdr:row>0</xdr:row>
                    <xdr:rowOff>152400</xdr:rowOff>
                  </from>
                  <to>
                    <xdr:col>13</xdr:col>
                    <xdr:colOff>638175</xdr:colOff>
                    <xdr:row>1</xdr:row>
                    <xdr:rowOff>257175</xdr:rowOff>
                  </to>
                </anchor>
              </controlPr>
            </control>
          </mc:Choice>
        </mc:AlternateContent>
      </controls>
    </mc:Choice>
  </mc:AlternateContent>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715E868-CA90-4AC9-9193-3DF099121F0E}">
  <sheetPr codeName="Sheet12">
    <tabColor rgb="FF00FF00"/>
    <pageSetUpPr fitToPage="1"/>
  </sheetPr>
  <dimension ref="A1:Z94"/>
  <sheetViews>
    <sheetView view="pageBreakPreview" zoomScaleNormal="100" zoomScaleSheetLayoutView="100" workbookViewId="0">
      <selection activeCell="A65" sqref="A65:XFD65"/>
    </sheetView>
  </sheetViews>
  <sheetFormatPr defaultColWidth="9" defaultRowHeight="23.25"/>
  <cols>
    <col min="1" max="1" width="3.125" style="469" customWidth="1"/>
    <col min="2" max="2" width="4.5" style="469" customWidth="1"/>
    <col min="3" max="5" width="12.625" style="469" customWidth="1"/>
    <col min="6" max="11" width="18.625" style="469" customWidth="1"/>
    <col min="12" max="13" width="12.625" style="145" customWidth="1"/>
    <col min="14" max="14" width="12.625" style="469" customWidth="1"/>
    <col min="15" max="15" width="3.875" style="469" bestFit="1" customWidth="1"/>
    <col min="16" max="16" width="9" style="470"/>
    <col min="17" max="17" width="9" style="469"/>
    <col min="18" max="18" width="35" style="469" customWidth="1"/>
    <col min="19" max="21" width="19.375" style="469" customWidth="1"/>
    <col min="22" max="23" width="9" style="469"/>
    <col min="24" max="24" width="9" style="470"/>
    <col min="25" max="16384" width="9" style="469"/>
  </cols>
  <sheetData>
    <row r="1" spans="1:21" ht="23.25" customHeight="1">
      <c r="B1" s="685" t="str">
        <f>IF(工事名個別&lt;&gt;"",工事名個別&amp;" 様邸 "&amp;物件種別&amp;"工事",工事名&amp;" 様邸 "&amp;物件種別&amp;"工事")</f>
        <v>田中 勝也 様邸 新築工事</v>
      </c>
      <c r="C1" s="685"/>
      <c r="D1" s="685"/>
      <c r="E1" s="685"/>
      <c r="F1" s="685"/>
      <c r="G1" s="685"/>
      <c r="H1" s="770" t="s">
        <v>3120</v>
      </c>
      <c r="I1" s="770"/>
      <c r="J1" s="770"/>
      <c r="K1" s="770"/>
      <c r="L1" s="770"/>
      <c r="M1" s="770"/>
      <c r="N1" s="770"/>
      <c r="R1" s="521">
        <v>282085</v>
      </c>
      <c r="S1" s="469" t="s">
        <v>3631</v>
      </c>
    </row>
    <row r="2" spans="1:21" ht="23.25" customHeight="1">
      <c r="B2" s="685"/>
      <c r="C2" s="685"/>
      <c r="D2" s="685"/>
      <c r="E2" s="685"/>
      <c r="F2" s="685"/>
      <c r="G2" s="685"/>
      <c r="H2" s="770"/>
      <c r="I2" s="770"/>
      <c r="J2" s="770"/>
      <c r="K2" s="770"/>
      <c r="L2" s="770"/>
      <c r="M2" s="770"/>
      <c r="N2" s="770"/>
      <c r="R2" s="669" t="str">
        <f>IF(R1&lt;&gt;"",HYPERLINK("https://nextoffice.next-hd.co.jp/pleasanter/items/"&amp;R1&amp;"/edit#FieldSetTab2","▶▶▶粗利益計算書を開く"),"✕✕✕ 粗利益計算書は未登録")</f>
        <v>▶▶▶粗利益計算書を開く</v>
      </c>
      <c r="S2" s="669"/>
    </row>
    <row r="3" spans="1:21" ht="24" customHeight="1" thickBot="1">
      <c r="B3" s="686"/>
      <c r="C3" s="686"/>
      <c r="D3" s="686"/>
      <c r="E3" s="686"/>
      <c r="F3" s="686"/>
      <c r="G3" s="686"/>
      <c r="H3" s="770"/>
      <c r="I3" s="770"/>
      <c r="J3" s="770"/>
      <c r="K3" s="770"/>
      <c r="L3" s="770"/>
      <c r="M3" s="770"/>
      <c r="N3" s="770"/>
      <c r="R3" s="669"/>
      <c r="S3" s="669"/>
    </row>
    <row r="4" spans="1:21" s="471" customFormat="1" ht="12" thickTop="1">
      <c r="B4" s="472"/>
      <c r="C4" s="472"/>
      <c r="D4" s="472"/>
      <c r="E4" s="472"/>
      <c r="F4" s="472"/>
      <c r="G4" s="472"/>
      <c r="H4" s="473"/>
      <c r="I4" s="473"/>
      <c r="J4" s="473"/>
      <c r="K4" s="473"/>
      <c r="L4" s="473"/>
      <c r="M4" s="473"/>
      <c r="N4" s="473"/>
    </row>
    <row r="5" spans="1:21">
      <c r="B5" s="767" t="s">
        <v>3121</v>
      </c>
      <c r="C5" s="767"/>
      <c r="D5" s="768" t="str">
        <f>顧客コード</f>
        <v>NA0BRO</v>
      </c>
      <c r="E5" s="768"/>
      <c r="F5" s="474" t="s">
        <v>3122</v>
      </c>
      <c r="G5" s="475" t="str">
        <f>建物種類</f>
        <v>2階建て</v>
      </c>
      <c r="I5" s="474" t="s">
        <v>3123</v>
      </c>
      <c r="J5" s="769" t="str">
        <f>_xlfn.XLOOKUP("ItemTitle",JSONデータ!$F:$F,JSONデータ!$G:$G,"",0)</f>
        <v>actie 八王子</v>
      </c>
      <c r="K5" s="769"/>
      <c r="L5" s="769"/>
      <c r="M5" s="687" t="s">
        <v>3124</v>
      </c>
      <c r="N5" s="771"/>
      <c r="Q5" s="675" t="s">
        <v>3125</v>
      </c>
      <c r="R5" s="766"/>
      <c r="S5" s="766"/>
      <c r="T5" s="766"/>
      <c r="U5" s="766"/>
    </row>
    <row r="6" spans="1:21">
      <c r="B6" s="767" t="s">
        <v>3126</v>
      </c>
      <c r="C6" s="767"/>
      <c r="D6" s="768" t="str">
        <f>契約コード</f>
        <v>05A3BRONT</v>
      </c>
      <c r="E6" s="768"/>
      <c r="F6" s="474" t="s">
        <v>3127</v>
      </c>
      <c r="G6" s="475">
        <f>延床面積</f>
        <v>136.21</v>
      </c>
      <c r="I6" s="474" t="s">
        <v>3128</v>
      </c>
      <c r="J6" s="769" t="str">
        <f>変換!$D$23</f>
        <v>中村 賢治</v>
      </c>
      <c r="K6" s="769"/>
      <c r="L6" s="769"/>
      <c r="M6" s="687"/>
      <c r="N6" s="771"/>
      <c r="Q6" s="766"/>
      <c r="R6" s="766"/>
      <c r="S6" s="766"/>
      <c r="T6" s="766"/>
      <c r="U6" s="766"/>
    </row>
    <row r="7" spans="1:21">
      <c r="B7" s="767" t="s">
        <v>3129</v>
      </c>
      <c r="C7" s="767"/>
      <c r="D7" s="768" t="str">
        <f>_xlfn.XLOOKUP("ItemTitle",JSONデータ!H:H,JSONデータ!I:I,"",0)</f>
        <v>actie</v>
      </c>
      <c r="E7" s="768"/>
      <c r="F7" s="474" t="s">
        <v>3130</v>
      </c>
      <c r="G7" s="475">
        <f>延床面積_坪</f>
        <v>41.19</v>
      </c>
      <c r="H7" s="476"/>
      <c r="I7" s="474" t="s">
        <v>3131</v>
      </c>
      <c r="J7" s="769" t="str">
        <f>_xlfn.XLOOKUP("ClassA",JSONデータ!$B:$B,JSONデータ!$C:$C,"",0)</f>
        <v>ネクストイノベーション株式会社</v>
      </c>
      <c r="K7" s="769"/>
      <c r="L7" s="769"/>
      <c r="M7" s="687"/>
      <c r="N7" s="771"/>
      <c r="Q7" s="766"/>
      <c r="R7" s="766"/>
      <c r="S7" s="766"/>
      <c r="T7" s="766"/>
      <c r="U7" s="766"/>
    </row>
    <row r="8" spans="1:21">
      <c r="B8" s="767" t="s">
        <v>3132</v>
      </c>
      <c r="C8" s="767"/>
      <c r="D8" s="768" t="str">
        <f>_xlfn.XLOOKUP("ItemTitle",JSONデータ!$J:$J,JSONデータ!$K:$K,"",0)</f>
        <v>smart style</v>
      </c>
      <c r="E8" s="768"/>
      <c r="F8" s="474" t="s">
        <v>3133</v>
      </c>
      <c r="G8" s="475" t="str">
        <f>RW_LVL</f>
        <v>LVL</v>
      </c>
      <c r="H8" s="476"/>
      <c r="I8" s="476"/>
      <c r="J8" s="102"/>
      <c r="K8" s="102"/>
      <c r="L8" s="103"/>
      <c r="M8" s="683" t="s">
        <v>3134</v>
      </c>
      <c r="N8" s="683"/>
      <c r="Q8" s="766"/>
      <c r="R8" s="766"/>
      <c r="S8" s="766"/>
      <c r="T8" s="766"/>
      <c r="U8" s="766"/>
    </row>
    <row r="9" spans="1:21" s="471" customFormat="1" ht="12" thickBot="1">
      <c r="L9" s="104"/>
      <c r="M9" s="683"/>
      <c r="N9" s="683"/>
      <c r="Q9" s="766"/>
      <c r="R9" s="766"/>
      <c r="S9" s="766"/>
      <c r="T9" s="766"/>
      <c r="U9" s="766"/>
    </row>
    <row r="10" spans="1:21" ht="24" thickBot="1">
      <c r="B10" s="772" t="s">
        <v>3135</v>
      </c>
      <c r="C10" s="773"/>
      <c r="D10" s="773"/>
      <c r="E10" s="773"/>
      <c r="F10" s="477" t="s">
        <v>3136</v>
      </c>
      <c r="G10" s="477" t="s">
        <v>3137</v>
      </c>
      <c r="H10" s="477" t="s">
        <v>3138</v>
      </c>
      <c r="I10" s="477" t="s">
        <v>3139</v>
      </c>
      <c r="J10" s="477" t="s">
        <v>3140</v>
      </c>
      <c r="K10" s="477" t="s">
        <v>3141</v>
      </c>
      <c r="L10" s="105" t="s">
        <v>3142</v>
      </c>
      <c r="M10" s="692" t="str">
        <f>IF(設計契約="1","あり","なし")</f>
        <v>あり</v>
      </c>
      <c r="N10" s="693"/>
      <c r="Q10" s="766"/>
      <c r="R10" s="766"/>
      <c r="S10" s="766"/>
      <c r="T10" s="766"/>
      <c r="U10" s="766"/>
    </row>
    <row r="11" spans="1:21" ht="30.75" thickBot="1">
      <c r="A11" s="478"/>
      <c r="B11" s="774" t="s">
        <v>3143</v>
      </c>
      <c r="C11" s="775"/>
      <c r="D11" s="775"/>
      <c r="E11" s="775"/>
      <c r="F11" s="106">
        <v>34822811</v>
      </c>
      <c r="G11" s="479"/>
      <c r="H11" s="106">
        <f>H24</f>
        <v>26782532</v>
      </c>
      <c r="I11" s="106">
        <f>I24</f>
        <v>0</v>
      </c>
      <c r="J11" s="107"/>
      <c r="K11" s="107"/>
      <c r="L11" s="108"/>
      <c r="M11" s="692"/>
      <c r="N11" s="693"/>
      <c r="Q11" s="766"/>
      <c r="R11" s="766"/>
      <c r="S11" s="766"/>
      <c r="T11" s="766"/>
      <c r="U11" s="766"/>
    </row>
    <row r="12" spans="1:21" ht="23.25" customHeight="1">
      <c r="A12" s="469">
        <v>1</v>
      </c>
      <c r="B12" s="735" t="s">
        <v>3144</v>
      </c>
      <c r="C12" s="785" t="s">
        <v>3809</v>
      </c>
      <c r="D12" s="785"/>
      <c r="E12" s="785"/>
      <c r="F12" s="480">
        <v>200000</v>
      </c>
      <c r="G12" s="481"/>
      <c r="H12" s="109"/>
      <c r="I12" s="109"/>
      <c r="J12" s="109"/>
      <c r="K12" s="109"/>
      <c r="L12" s="110"/>
      <c r="M12" s="111">
        <v>1</v>
      </c>
      <c r="Q12" s="766"/>
      <c r="R12" s="766"/>
      <c r="S12" s="766"/>
      <c r="T12" s="766"/>
      <c r="U12" s="766"/>
    </row>
    <row r="13" spans="1:21" ht="23.25" customHeight="1">
      <c r="A13" s="469">
        <v>2</v>
      </c>
      <c r="B13" s="736"/>
      <c r="C13" s="765" t="s">
        <v>3810</v>
      </c>
      <c r="D13" s="765"/>
      <c r="E13" s="765"/>
      <c r="F13" s="482">
        <v>125000</v>
      </c>
      <c r="G13" s="483"/>
      <c r="H13" s="112"/>
      <c r="I13" s="112"/>
      <c r="J13" s="112"/>
      <c r="K13" s="112"/>
      <c r="L13" s="113"/>
      <c r="M13" s="111">
        <v>2</v>
      </c>
      <c r="Q13" s="670"/>
      <c r="R13" s="670"/>
    </row>
    <row r="14" spans="1:21" ht="23.25" customHeight="1">
      <c r="A14" s="469">
        <v>3</v>
      </c>
      <c r="B14" s="736"/>
      <c r="C14" s="765" t="s">
        <v>3811</v>
      </c>
      <c r="D14" s="765"/>
      <c r="E14" s="765"/>
      <c r="F14" s="482">
        <v>100000</v>
      </c>
      <c r="G14" s="483"/>
      <c r="H14" s="112"/>
      <c r="I14" s="112"/>
      <c r="J14" s="112"/>
      <c r="K14" s="112"/>
      <c r="L14" s="113"/>
      <c r="M14" s="111">
        <v>3</v>
      </c>
      <c r="Q14" s="674"/>
      <c r="R14" s="674"/>
    </row>
    <row r="15" spans="1:21" ht="23.25" customHeight="1">
      <c r="A15" s="469">
        <v>4</v>
      </c>
      <c r="B15" s="736"/>
      <c r="C15" s="765" t="s">
        <v>4594</v>
      </c>
      <c r="D15" s="765"/>
      <c r="E15" s="765"/>
      <c r="F15" s="482">
        <v>350000</v>
      </c>
      <c r="G15" s="483"/>
      <c r="H15" s="112"/>
      <c r="I15" s="112"/>
      <c r="J15" s="112"/>
      <c r="K15" s="112"/>
      <c r="L15" s="113"/>
      <c r="M15" s="111">
        <v>4</v>
      </c>
      <c r="Q15" s="674"/>
      <c r="R15" s="674"/>
    </row>
    <row r="16" spans="1:21" ht="23.25" customHeight="1">
      <c r="A16" s="469">
        <v>5</v>
      </c>
      <c r="B16" s="736"/>
      <c r="C16" s="765" t="s">
        <v>5174</v>
      </c>
      <c r="D16" s="765"/>
      <c r="E16" s="765"/>
      <c r="F16" s="482">
        <v>100000</v>
      </c>
      <c r="G16" s="483"/>
      <c r="H16" s="112"/>
      <c r="I16" s="112"/>
      <c r="J16" s="112"/>
      <c r="K16" s="112"/>
      <c r="L16" s="113"/>
      <c r="M16" s="111">
        <v>5</v>
      </c>
      <c r="R16" s="484"/>
    </row>
    <row r="17" spans="1:17" ht="23.25" customHeight="1">
      <c r="A17" s="469">
        <v>6</v>
      </c>
      <c r="B17" s="736"/>
      <c r="C17" s="765" t="s">
        <v>5175</v>
      </c>
      <c r="D17" s="765"/>
      <c r="E17" s="765"/>
      <c r="F17" s="482">
        <v>110000</v>
      </c>
      <c r="G17" s="483"/>
      <c r="H17" s="112"/>
      <c r="I17" s="112"/>
      <c r="J17" s="112"/>
      <c r="K17" s="112"/>
      <c r="L17" s="113"/>
      <c r="M17" s="111">
        <v>6</v>
      </c>
    </row>
    <row r="18" spans="1:17" ht="23.25" customHeight="1">
      <c r="A18" s="469">
        <v>7</v>
      </c>
      <c r="B18" s="736"/>
      <c r="C18" s="765" t="s">
        <v>5176</v>
      </c>
      <c r="D18" s="765"/>
      <c r="E18" s="765"/>
      <c r="F18" s="482">
        <v>369800</v>
      </c>
      <c r="G18" s="483"/>
      <c r="H18" s="112"/>
      <c r="I18" s="112"/>
      <c r="J18" s="112"/>
      <c r="K18" s="112"/>
      <c r="L18" s="113"/>
      <c r="M18" s="111">
        <v>7</v>
      </c>
    </row>
    <row r="19" spans="1:17" ht="23.25" customHeight="1">
      <c r="A19" s="469">
        <v>8</v>
      </c>
      <c r="B19" s="736"/>
      <c r="C19" s="765" t="s">
        <v>5177</v>
      </c>
      <c r="D19" s="765"/>
      <c r="E19" s="765"/>
      <c r="F19" s="482">
        <v>200000</v>
      </c>
      <c r="G19" s="483"/>
      <c r="H19" s="112"/>
      <c r="I19" s="112"/>
      <c r="J19" s="112"/>
      <c r="K19" s="112"/>
      <c r="L19" s="113"/>
      <c r="M19" s="111">
        <v>8</v>
      </c>
    </row>
    <row r="20" spans="1:17" ht="23.25" customHeight="1">
      <c r="A20" s="469">
        <v>9</v>
      </c>
      <c r="B20" s="736"/>
      <c r="C20" s="765"/>
      <c r="D20" s="765"/>
      <c r="E20" s="765"/>
      <c r="F20" s="482"/>
      <c r="G20" s="483"/>
      <c r="H20" s="112"/>
      <c r="I20" s="112"/>
      <c r="J20" s="112"/>
      <c r="K20" s="112"/>
      <c r="L20" s="113"/>
      <c r="M20" s="111">
        <v>9</v>
      </c>
    </row>
    <row r="21" spans="1:17" ht="23.25" customHeight="1">
      <c r="A21" s="469">
        <v>10</v>
      </c>
      <c r="B21" s="736"/>
      <c r="C21" s="784"/>
      <c r="D21" s="784"/>
      <c r="E21" s="784"/>
      <c r="F21" s="485"/>
      <c r="G21" s="486"/>
      <c r="H21" s="114"/>
      <c r="I21" s="114"/>
      <c r="J21" s="114"/>
      <c r="K21" s="114"/>
      <c r="L21" s="115"/>
      <c r="M21" s="111">
        <v>10</v>
      </c>
    </row>
    <row r="22" spans="1:17" ht="23.25" customHeight="1" thickBot="1">
      <c r="B22" s="699" t="s">
        <v>3145</v>
      </c>
      <c r="C22" s="700"/>
      <c r="D22" s="700"/>
      <c r="E22" s="700"/>
      <c r="F22" s="116">
        <f>SUM(F12:F21)</f>
        <v>1554800</v>
      </c>
      <c r="G22" s="116">
        <f>SUM(G12:G21)</f>
        <v>0</v>
      </c>
      <c r="H22" s="117"/>
      <c r="I22" s="117"/>
      <c r="J22" s="117"/>
      <c r="K22" s="117"/>
      <c r="L22" s="118"/>
      <c r="M22" s="119"/>
    </row>
    <row r="23" spans="1:17" ht="23.25" customHeight="1" thickBot="1">
      <c r="B23" s="776" t="s">
        <v>3146</v>
      </c>
      <c r="C23" s="777"/>
      <c r="D23" s="777"/>
      <c r="E23" s="777"/>
      <c r="F23" s="120">
        <f>-J35</f>
        <v>-185000</v>
      </c>
      <c r="G23" s="120">
        <f>-K35</f>
        <v>0</v>
      </c>
      <c r="H23" s="121"/>
      <c r="I23" s="121"/>
      <c r="J23" s="122"/>
      <c r="K23" s="122"/>
      <c r="L23" s="123"/>
      <c r="M23" s="119"/>
    </row>
    <row r="24" spans="1:17" ht="23.25" customHeight="1" thickBot="1">
      <c r="B24" s="778" t="s">
        <v>3147</v>
      </c>
      <c r="C24" s="779"/>
      <c r="D24" s="779"/>
      <c r="E24" s="779"/>
      <c r="F24" s="124">
        <f>F11+F22+F23</f>
        <v>36192611</v>
      </c>
      <c r="G24" s="124">
        <f>G11+G22+G23</f>
        <v>0</v>
      </c>
      <c r="H24" s="124">
        <f>F24-J24</f>
        <v>26782532</v>
      </c>
      <c r="I24" s="125">
        <f>G24-K24</f>
        <v>0</v>
      </c>
      <c r="J24" s="126">
        <f>ROUNDUP(F24*L24,0)</f>
        <v>9410079</v>
      </c>
      <c r="K24" s="126">
        <f>ROUNDUP(G24*L24,0)</f>
        <v>0</v>
      </c>
      <c r="L24" s="487">
        <v>0.26</v>
      </c>
      <c r="M24" s="127" t="s">
        <v>3148</v>
      </c>
      <c r="Q24" s="488" t="s">
        <v>3149</v>
      </c>
    </row>
    <row r="25" spans="1:17" ht="23.25" customHeight="1">
      <c r="A25" s="469">
        <v>1</v>
      </c>
      <c r="B25" s="736" t="s">
        <v>3150</v>
      </c>
      <c r="C25" s="780" t="s">
        <v>4595</v>
      </c>
      <c r="D25" s="780"/>
      <c r="E25" s="780"/>
      <c r="F25" s="489"/>
      <c r="G25" s="490">
        <v>0</v>
      </c>
      <c r="H25" s="489">
        <v>0</v>
      </c>
      <c r="I25" s="490">
        <v>0</v>
      </c>
      <c r="J25" s="128">
        <f>F25-H25</f>
        <v>0</v>
      </c>
      <c r="K25" s="128">
        <f>G25-I25</f>
        <v>0</v>
      </c>
      <c r="L25" s="129"/>
      <c r="M25" s="111">
        <v>1</v>
      </c>
      <c r="Q25" s="488"/>
    </row>
    <row r="26" spans="1:17" ht="23.25" customHeight="1">
      <c r="A26" s="469">
        <v>2</v>
      </c>
      <c r="B26" s="736"/>
      <c r="C26" s="765" t="s">
        <v>4597</v>
      </c>
      <c r="D26" s="765"/>
      <c r="E26" s="765"/>
      <c r="F26" s="482">
        <v>0</v>
      </c>
      <c r="G26" s="483">
        <v>0</v>
      </c>
      <c r="H26" s="482">
        <v>0</v>
      </c>
      <c r="I26" s="483">
        <v>0</v>
      </c>
      <c r="J26" s="130">
        <f t="shared" ref="J26:K29" si="0">F26-H26</f>
        <v>0</v>
      </c>
      <c r="K26" s="130">
        <f t="shared" si="0"/>
        <v>0</v>
      </c>
      <c r="L26" s="131"/>
      <c r="M26" s="111">
        <v>2</v>
      </c>
      <c r="Q26" s="488" t="s">
        <v>3151</v>
      </c>
    </row>
    <row r="27" spans="1:17" ht="23.25" customHeight="1">
      <c r="A27" s="469">
        <v>3</v>
      </c>
      <c r="B27" s="736"/>
      <c r="C27" s="765" t="s">
        <v>4598</v>
      </c>
      <c r="D27" s="765"/>
      <c r="E27" s="765"/>
      <c r="F27" s="482">
        <v>0</v>
      </c>
      <c r="G27" s="483">
        <v>0</v>
      </c>
      <c r="H27" s="482">
        <v>0</v>
      </c>
      <c r="I27" s="483">
        <v>0</v>
      </c>
      <c r="J27" s="130">
        <f t="shared" si="0"/>
        <v>0</v>
      </c>
      <c r="K27" s="130">
        <f t="shared" si="0"/>
        <v>0</v>
      </c>
      <c r="L27" s="131"/>
      <c r="M27" s="111">
        <v>3</v>
      </c>
    </row>
    <row r="28" spans="1:17" ht="23.25" customHeight="1">
      <c r="A28" s="469">
        <v>4</v>
      </c>
      <c r="B28" s="736"/>
      <c r="C28" s="765" t="s">
        <v>5178</v>
      </c>
      <c r="D28" s="765"/>
      <c r="E28" s="765"/>
      <c r="F28" s="482">
        <v>80000</v>
      </c>
      <c r="G28" s="483"/>
      <c r="H28" s="482"/>
      <c r="I28" s="483"/>
      <c r="J28" s="130">
        <f t="shared" si="0"/>
        <v>80000</v>
      </c>
      <c r="K28" s="130">
        <f t="shared" si="0"/>
        <v>0</v>
      </c>
      <c r="L28" s="131"/>
      <c r="M28" s="111">
        <v>4</v>
      </c>
    </row>
    <row r="29" spans="1:17" ht="23.25" customHeight="1">
      <c r="A29" s="469">
        <v>5</v>
      </c>
      <c r="B29" s="736"/>
      <c r="C29" s="765" t="s">
        <v>5179</v>
      </c>
      <c r="D29" s="765"/>
      <c r="E29" s="765"/>
      <c r="F29" s="482">
        <v>105000</v>
      </c>
      <c r="G29" s="483"/>
      <c r="H29" s="482"/>
      <c r="I29" s="483"/>
      <c r="J29" s="130">
        <f t="shared" si="0"/>
        <v>105000</v>
      </c>
      <c r="K29" s="130">
        <f t="shared" si="0"/>
        <v>0</v>
      </c>
      <c r="L29" s="131"/>
      <c r="M29" s="111">
        <v>5</v>
      </c>
    </row>
    <row r="30" spans="1:17" ht="23.25" customHeight="1">
      <c r="A30" s="469">
        <v>6</v>
      </c>
      <c r="B30" s="736"/>
      <c r="C30" s="765"/>
      <c r="D30" s="765"/>
      <c r="E30" s="765"/>
      <c r="F30" s="482"/>
      <c r="G30" s="483"/>
      <c r="H30" s="482"/>
      <c r="I30" s="483"/>
      <c r="J30" s="130">
        <f t="shared" ref="J30:J34" si="1">F30-H30</f>
        <v>0</v>
      </c>
      <c r="K30" s="130">
        <f t="shared" ref="K30:K34" si="2">G30-I30</f>
        <v>0</v>
      </c>
      <c r="L30" s="131"/>
      <c r="M30" s="111">
        <v>6</v>
      </c>
    </row>
    <row r="31" spans="1:17" ht="23.25" customHeight="1">
      <c r="A31" s="469">
        <v>7</v>
      </c>
      <c r="B31" s="736"/>
      <c r="C31" s="765"/>
      <c r="D31" s="765"/>
      <c r="E31" s="765"/>
      <c r="F31" s="482"/>
      <c r="G31" s="483"/>
      <c r="H31" s="482"/>
      <c r="I31" s="483"/>
      <c r="J31" s="130">
        <f t="shared" si="1"/>
        <v>0</v>
      </c>
      <c r="K31" s="130">
        <f t="shared" si="2"/>
        <v>0</v>
      </c>
      <c r="L31" s="131"/>
      <c r="M31" s="111">
        <v>7</v>
      </c>
    </row>
    <row r="32" spans="1:17" ht="23.25" customHeight="1">
      <c r="A32" s="469">
        <v>8</v>
      </c>
      <c r="B32" s="736"/>
      <c r="C32" s="765"/>
      <c r="D32" s="765"/>
      <c r="E32" s="765"/>
      <c r="F32" s="494"/>
      <c r="G32" s="493"/>
      <c r="H32" s="494"/>
      <c r="I32" s="493"/>
      <c r="J32" s="130">
        <f t="shared" si="1"/>
        <v>0</v>
      </c>
      <c r="K32" s="130">
        <f t="shared" si="2"/>
        <v>0</v>
      </c>
      <c r="L32" s="559"/>
      <c r="M32" s="111">
        <v>8</v>
      </c>
    </row>
    <row r="33" spans="1:26" ht="23.25" customHeight="1">
      <c r="A33" s="469">
        <v>9</v>
      </c>
      <c r="B33" s="736"/>
      <c r="C33" s="765"/>
      <c r="D33" s="765"/>
      <c r="E33" s="765"/>
      <c r="F33" s="494"/>
      <c r="G33" s="493"/>
      <c r="H33" s="494"/>
      <c r="I33" s="493"/>
      <c r="J33" s="130">
        <f t="shared" si="1"/>
        <v>0</v>
      </c>
      <c r="K33" s="130">
        <f t="shared" si="2"/>
        <v>0</v>
      </c>
      <c r="L33" s="559"/>
      <c r="M33" s="111">
        <v>9</v>
      </c>
    </row>
    <row r="34" spans="1:26" ht="23.25" customHeight="1">
      <c r="A34" s="469">
        <v>10</v>
      </c>
      <c r="B34" s="736"/>
      <c r="C34" s="784"/>
      <c r="D34" s="784"/>
      <c r="E34" s="784"/>
      <c r="F34" s="485"/>
      <c r="G34" s="486"/>
      <c r="H34" s="485"/>
      <c r="I34" s="486"/>
      <c r="J34" s="132">
        <f t="shared" si="1"/>
        <v>0</v>
      </c>
      <c r="K34" s="132">
        <f t="shared" si="2"/>
        <v>0</v>
      </c>
      <c r="L34" s="133"/>
      <c r="M34" s="111">
        <v>10</v>
      </c>
    </row>
    <row r="35" spans="1:26" ht="23.25" customHeight="1" thickBot="1">
      <c r="B35" s="699" t="s">
        <v>3145</v>
      </c>
      <c r="C35" s="700"/>
      <c r="D35" s="700"/>
      <c r="E35" s="700"/>
      <c r="F35" s="134">
        <f>SUM(F25:F34)</f>
        <v>185000</v>
      </c>
      <c r="G35" s="134">
        <f t="shared" ref="G35:J35" si="3">SUM(G25:G34)</f>
        <v>0</v>
      </c>
      <c r="H35" s="134">
        <f t="shared" si="3"/>
        <v>0</v>
      </c>
      <c r="I35" s="134">
        <f t="shared" si="3"/>
        <v>0</v>
      </c>
      <c r="J35" s="135">
        <f t="shared" si="3"/>
        <v>185000</v>
      </c>
      <c r="K35" s="135">
        <f>SUM(K25:K34)</f>
        <v>0</v>
      </c>
      <c r="L35" s="136"/>
      <c r="M35" s="491" t="s">
        <v>3152</v>
      </c>
    </row>
    <row r="36" spans="1:26" ht="23.25" customHeight="1" thickBot="1">
      <c r="B36" s="778" t="s">
        <v>3153</v>
      </c>
      <c r="C36" s="779"/>
      <c r="D36" s="779"/>
      <c r="E36" s="779"/>
      <c r="F36" s="492">
        <f>F24+F35</f>
        <v>36377611</v>
      </c>
      <c r="G36" s="492">
        <f t="shared" ref="G36:K36" si="4">G24+G35</f>
        <v>0</v>
      </c>
      <c r="H36" s="492">
        <f>H24+H35</f>
        <v>26782532</v>
      </c>
      <c r="I36" s="492">
        <f t="shared" si="4"/>
        <v>0</v>
      </c>
      <c r="J36" s="492">
        <f t="shared" si="4"/>
        <v>9595079</v>
      </c>
      <c r="K36" s="492">
        <f t="shared" si="4"/>
        <v>0</v>
      </c>
      <c r="L36" s="137">
        <f>IF(F36=0,"",ROUNDDOWN(J36/F36,3))</f>
        <v>0.26300000000000001</v>
      </c>
      <c r="M36" s="138" t="str">
        <f>IF(G36=0,"",ROUNDDOWN(K36/F36,3))</f>
        <v/>
      </c>
      <c r="Q36" s="714" t="s">
        <v>3154</v>
      </c>
      <c r="R36" s="786"/>
      <c r="S36" s="786"/>
      <c r="T36" s="786"/>
      <c r="U36" s="786"/>
      <c r="V36" s="786"/>
      <c r="W36" s="786"/>
      <c r="X36" s="786"/>
      <c r="Y36" s="786"/>
      <c r="Z36" s="786"/>
    </row>
    <row r="37" spans="1:26" ht="23.25" customHeight="1">
      <c r="A37" s="469">
        <v>1</v>
      </c>
      <c r="B37" s="736" t="s">
        <v>3155</v>
      </c>
      <c r="C37" s="780"/>
      <c r="D37" s="780"/>
      <c r="E37" s="780"/>
      <c r="F37" s="489"/>
      <c r="G37" s="490">
        <v>0</v>
      </c>
      <c r="H37" s="489">
        <v>0</v>
      </c>
      <c r="I37" s="490">
        <v>0</v>
      </c>
      <c r="J37" s="128">
        <f>F37-H37</f>
        <v>0</v>
      </c>
      <c r="K37" s="128">
        <f>G37-I37</f>
        <v>0</v>
      </c>
      <c r="L37" s="129"/>
      <c r="M37" s="111">
        <v>1</v>
      </c>
      <c r="Q37" s="786"/>
      <c r="R37" s="786"/>
      <c r="S37" s="786"/>
      <c r="T37" s="786"/>
      <c r="U37" s="786"/>
      <c r="V37" s="786"/>
      <c r="W37" s="786"/>
      <c r="X37" s="786"/>
      <c r="Y37" s="786"/>
      <c r="Z37" s="786"/>
    </row>
    <row r="38" spans="1:26" ht="23.25" customHeight="1">
      <c r="A38" s="469">
        <v>2</v>
      </c>
      <c r="B38" s="736"/>
      <c r="C38" s="765" t="s">
        <v>3908</v>
      </c>
      <c r="D38" s="765"/>
      <c r="E38" s="765"/>
      <c r="F38" s="482">
        <v>18262</v>
      </c>
      <c r="G38" s="483"/>
      <c r="H38" s="482"/>
      <c r="I38" s="483"/>
      <c r="J38" s="130">
        <f t="shared" ref="J38:K46" si="5">F38-H38</f>
        <v>18262</v>
      </c>
      <c r="K38" s="130">
        <f t="shared" si="5"/>
        <v>0</v>
      </c>
      <c r="L38" s="131"/>
      <c r="M38" s="111">
        <v>2</v>
      </c>
      <c r="Q38" s="786"/>
      <c r="R38" s="786"/>
      <c r="S38" s="786"/>
      <c r="T38" s="786"/>
      <c r="U38" s="786"/>
      <c r="V38" s="786"/>
      <c r="W38" s="786"/>
      <c r="X38" s="786"/>
      <c r="Y38" s="786"/>
      <c r="Z38" s="786"/>
    </row>
    <row r="39" spans="1:26" ht="23.25" customHeight="1">
      <c r="A39" s="469">
        <v>3</v>
      </c>
      <c r="B39" s="736"/>
      <c r="C39" s="765"/>
      <c r="D39" s="765"/>
      <c r="E39" s="765"/>
      <c r="F39" s="482"/>
      <c r="G39" s="483"/>
      <c r="H39" s="482"/>
      <c r="I39" s="483"/>
      <c r="J39" s="130">
        <f t="shared" si="5"/>
        <v>0</v>
      </c>
      <c r="K39" s="130">
        <f t="shared" si="5"/>
        <v>0</v>
      </c>
      <c r="L39" s="131"/>
      <c r="M39" s="111">
        <v>3</v>
      </c>
      <c r="Q39" s="786"/>
      <c r="R39" s="786"/>
      <c r="S39" s="786"/>
      <c r="T39" s="786"/>
      <c r="U39" s="786"/>
      <c r="V39" s="786"/>
      <c r="W39" s="786"/>
      <c r="X39" s="786"/>
      <c r="Y39" s="786"/>
      <c r="Z39" s="786"/>
    </row>
    <row r="40" spans="1:26" ht="23.25" customHeight="1">
      <c r="A40" s="469">
        <v>4</v>
      </c>
      <c r="B40" s="736"/>
      <c r="C40" s="765"/>
      <c r="D40" s="765"/>
      <c r="E40" s="765"/>
      <c r="F40" s="482"/>
      <c r="G40" s="483"/>
      <c r="H40" s="482"/>
      <c r="I40" s="483"/>
      <c r="J40" s="130">
        <f t="shared" si="5"/>
        <v>0</v>
      </c>
      <c r="K40" s="130">
        <f t="shared" si="5"/>
        <v>0</v>
      </c>
      <c r="L40" s="131"/>
      <c r="M40" s="111">
        <v>4</v>
      </c>
      <c r="Q40" s="786"/>
      <c r="R40" s="786"/>
      <c r="S40" s="786"/>
      <c r="T40" s="786"/>
      <c r="U40" s="786"/>
      <c r="V40" s="786"/>
      <c r="W40" s="786"/>
      <c r="X40" s="786"/>
      <c r="Y40" s="786"/>
      <c r="Z40" s="786"/>
    </row>
    <row r="41" spans="1:26" ht="23.25" customHeight="1">
      <c r="A41" s="469">
        <v>5</v>
      </c>
      <c r="B41" s="736"/>
      <c r="C41" s="765"/>
      <c r="D41" s="765"/>
      <c r="E41" s="765"/>
      <c r="F41" s="482"/>
      <c r="G41" s="483"/>
      <c r="H41" s="482"/>
      <c r="I41" s="483"/>
      <c r="J41" s="130">
        <f t="shared" si="5"/>
        <v>0</v>
      </c>
      <c r="K41" s="130">
        <f t="shared" si="5"/>
        <v>0</v>
      </c>
      <c r="L41" s="131"/>
      <c r="M41" s="111">
        <v>5</v>
      </c>
      <c r="Q41" s="786"/>
      <c r="R41" s="786"/>
      <c r="S41" s="786"/>
      <c r="T41" s="786"/>
      <c r="U41" s="786"/>
      <c r="V41" s="786"/>
      <c r="W41" s="786"/>
      <c r="X41" s="786"/>
      <c r="Y41" s="786"/>
      <c r="Z41" s="786"/>
    </row>
    <row r="42" spans="1:26" ht="23.25" customHeight="1">
      <c r="A42" s="469">
        <v>6</v>
      </c>
      <c r="B42" s="736"/>
      <c r="C42" s="765"/>
      <c r="D42" s="765"/>
      <c r="E42" s="765"/>
      <c r="F42" s="482"/>
      <c r="G42" s="483"/>
      <c r="H42" s="482"/>
      <c r="I42" s="483"/>
      <c r="J42" s="130">
        <f t="shared" si="5"/>
        <v>0</v>
      </c>
      <c r="K42" s="130">
        <f t="shared" si="5"/>
        <v>0</v>
      </c>
      <c r="L42" s="131"/>
      <c r="M42" s="111">
        <v>6</v>
      </c>
      <c r="Q42" s="786"/>
      <c r="R42" s="786"/>
      <c r="S42" s="786"/>
      <c r="T42" s="786"/>
      <c r="U42" s="786"/>
      <c r="V42" s="786"/>
      <c r="W42" s="786"/>
      <c r="X42" s="786"/>
      <c r="Y42" s="786"/>
      <c r="Z42" s="786"/>
    </row>
    <row r="43" spans="1:26" ht="23.25" customHeight="1">
      <c r="A43" s="469">
        <v>7</v>
      </c>
      <c r="B43" s="736"/>
      <c r="C43" s="765"/>
      <c r="D43" s="765"/>
      <c r="E43" s="765"/>
      <c r="F43" s="482"/>
      <c r="G43" s="483"/>
      <c r="H43" s="482"/>
      <c r="I43" s="483"/>
      <c r="J43" s="130">
        <f t="shared" ref="J43:J45" si="6">F43-H43</f>
        <v>0</v>
      </c>
      <c r="K43" s="130">
        <f t="shared" ref="K43:K45" si="7">G43-I43</f>
        <v>0</v>
      </c>
      <c r="L43" s="131"/>
      <c r="M43" s="111">
        <v>7</v>
      </c>
    </row>
    <row r="44" spans="1:26" ht="23.25" customHeight="1">
      <c r="A44" s="469">
        <v>8</v>
      </c>
      <c r="B44" s="736"/>
      <c r="C44" s="765"/>
      <c r="D44" s="765"/>
      <c r="E44" s="765"/>
      <c r="F44" s="494"/>
      <c r="G44" s="493"/>
      <c r="H44" s="494"/>
      <c r="I44" s="493"/>
      <c r="J44" s="130">
        <f t="shared" si="6"/>
        <v>0</v>
      </c>
      <c r="K44" s="130">
        <f t="shared" si="7"/>
        <v>0</v>
      </c>
      <c r="L44" s="559"/>
      <c r="M44" s="111">
        <v>8</v>
      </c>
    </row>
    <row r="45" spans="1:26" ht="23.25" customHeight="1">
      <c r="A45" s="469">
        <v>9</v>
      </c>
      <c r="B45" s="736"/>
      <c r="C45" s="765"/>
      <c r="D45" s="765"/>
      <c r="E45" s="765"/>
      <c r="F45" s="494"/>
      <c r="G45" s="493"/>
      <c r="H45" s="494"/>
      <c r="I45" s="493"/>
      <c r="J45" s="130">
        <f t="shared" si="6"/>
        <v>0</v>
      </c>
      <c r="K45" s="130">
        <f t="shared" si="7"/>
        <v>0</v>
      </c>
      <c r="L45" s="559"/>
      <c r="M45" s="111">
        <v>9</v>
      </c>
    </row>
    <row r="46" spans="1:26" ht="23.25" customHeight="1">
      <c r="A46" s="469">
        <v>10</v>
      </c>
      <c r="B46" s="736"/>
      <c r="C46" s="784"/>
      <c r="D46" s="784"/>
      <c r="E46" s="784"/>
      <c r="F46" s="485"/>
      <c r="G46" s="486"/>
      <c r="H46" s="485"/>
      <c r="I46" s="486"/>
      <c r="J46" s="132">
        <f t="shared" si="5"/>
        <v>0</v>
      </c>
      <c r="K46" s="132">
        <f t="shared" si="5"/>
        <v>0</v>
      </c>
      <c r="L46" s="133"/>
      <c r="M46" s="111">
        <v>10</v>
      </c>
    </row>
    <row r="47" spans="1:26" ht="23.25" customHeight="1" thickBot="1">
      <c r="B47" s="699" t="s">
        <v>3145</v>
      </c>
      <c r="C47" s="700"/>
      <c r="D47" s="700"/>
      <c r="E47" s="700"/>
      <c r="F47" s="134">
        <f>SUM(F37:F46)</f>
        <v>18262</v>
      </c>
      <c r="G47" s="134">
        <f>SUM(G37:G46)</f>
        <v>0</v>
      </c>
      <c r="H47" s="134">
        <f>SUM(H37:H46)</f>
        <v>0</v>
      </c>
      <c r="I47" s="134">
        <f>SUM(I37:I46)</f>
        <v>0</v>
      </c>
      <c r="J47" s="134">
        <f>SUM(J37:J46)</f>
        <v>18262</v>
      </c>
      <c r="K47" s="134">
        <f t="shared" ref="K47" si="8">SUM(K37:K46)</f>
        <v>0</v>
      </c>
      <c r="L47" s="136"/>
      <c r="M47" s="491" t="s">
        <v>3152</v>
      </c>
    </row>
    <row r="48" spans="1:26" ht="23.25" customHeight="1" thickBot="1">
      <c r="B48" s="778" t="s">
        <v>3153</v>
      </c>
      <c r="C48" s="779"/>
      <c r="D48" s="779"/>
      <c r="E48" s="779"/>
      <c r="F48" s="492">
        <f>F36+F47</f>
        <v>36395873</v>
      </c>
      <c r="G48" s="492">
        <f t="shared" ref="G48:K48" si="9">G36+G47</f>
        <v>0</v>
      </c>
      <c r="H48" s="492">
        <f t="shared" si="9"/>
        <v>26782532</v>
      </c>
      <c r="I48" s="492">
        <f t="shared" si="9"/>
        <v>0</v>
      </c>
      <c r="J48" s="492">
        <f t="shared" si="9"/>
        <v>9613341</v>
      </c>
      <c r="K48" s="492">
        <f t="shared" si="9"/>
        <v>0</v>
      </c>
      <c r="L48" s="137">
        <f>IF(F48=0,"",ROUNDDOWN(J48/F48,3))</f>
        <v>0.26400000000000001</v>
      </c>
      <c r="M48" s="138" t="str">
        <f>IF(G48=0,"",ROUNDDOWN(K48/F48,3))</f>
        <v/>
      </c>
      <c r="Q48" s="714" t="s">
        <v>3154</v>
      </c>
      <c r="R48" s="786"/>
      <c r="S48" s="786"/>
      <c r="T48" s="786"/>
      <c r="U48" s="786"/>
      <c r="V48" s="786"/>
      <c r="W48" s="786"/>
      <c r="X48" s="786"/>
      <c r="Y48" s="786"/>
      <c r="Z48" s="786"/>
    </row>
    <row r="49" spans="1:26" ht="23.25" customHeight="1">
      <c r="A49" s="469">
        <v>1</v>
      </c>
      <c r="B49" s="697" t="s">
        <v>3156</v>
      </c>
      <c r="C49" s="708" t="s">
        <v>4599</v>
      </c>
      <c r="D49" s="709"/>
      <c r="E49" s="710"/>
      <c r="F49" s="480"/>
      <c r="G49" s="481"/>
      <c r="H49" s="480">
        <v>0</v>
      </c>
      <c r="I49" s="481">
        <v>0</v>
      </c>
      <c r="J49" s="139">
        <f t="shared" ref="J49:K58" si="10">-H49</f>
        <v>0</v>
      </c>
      <c r="K49" s="139">
        <f t="shared" si="10"/>
        <v>0</v>
      </c>
      <c r="L49" s="110"/>
      <c r="M49" s="111">
        <v>1</v>
      </c>
      <c r="Q49" s="786"/>
      <c r="R49" s="786"/>
      <c r="S49" s="786"/>
      <c r="T49" s="786"/>
      <c r="U49" s="786"/>
      <c r="V49" s="786"/>
      <c r="W49" s="786"/>
      <c r="X49" s="786"/>
      <c r="Y49" s="786"/>
      <c r="Z49" s="786"/>
    </row>
    <row r="50" spans="1:26" ht="23.25" customHeight="1">
      <c r="A50" s="469">
        <v>2</v>
      </c>
      <c r="B50" s="698"/>
      <c r="C50" s="671" t="s">
        <v>5180</v>
      </c>
      <c r="D50" s="672"/>
      <c r="E50" s="673"/>
      <c r="F50" s="482"/>
      <c r="G50" s="483"/>
      <c r="H50" s="482"/>
      <c r="I50" s="483"/>
      <c r="J50" s="130">
        <f t="shared" si="10"/>
        <v>0</v>
      </c>
      <c r="K50" s="130">
        <f t="shared" si="10"/>
        <v>0</v>
      </c>
      <c r="L50" s="113"/>
      <c r="M50" s="111">
        <v>2</v>
      </c>
      <c r="Q50" s="786"/>
      <c r="R50" s="786"/>
      <c r="S50" s="786"/>
      <c r="T50" s="786"/>
      <c r="U50" s="786"/>
      <c r="V50" s="786"/>
      <c r="W50" s="786"/>
      <c r="X50" s="786"/>
      <c r="Y50" s="786"/>
      <c r="Z50" s="786"/>
    </row>
    <row r="51" spans="1:26" ht="23.25" customHeight="1">
      <c r="A51" s="469">
        <v>3</v>
      </c>
      <c r="B51" s="698"/>
      <c r="C51" s="671" t="s">
        <v>5181</v>
      </c>
      <c r="D51" s="672"/>
      <c r="E51" s="673"/>
      <c r="F51" s="482"/>
      <c r="G51" s="483"/>
      <c r="H51" s="482"/>
      <c r="I51" s="483"/>
      <c r="J51" s="130">
        <f t="shared" si="10"/>
        <v>0</v>
      </c>
      <c r="K51" s="130">
        <f t="shared" si="10"/>
        <v>0</v>
      </c>
      <c r="L51" s="113"/>
      <c r="M51" s="111">
        <v>3</v>
      </c>
      <c r="Q51" s="786"/>
      <c r="R51" s="786"/>
      <c r="S51" s="786"/>
      <c r="T51" s="786"/>
      <c r="U51" s="786"/>
      <c r="V51" s="786"/>
      <c r="W51" s="786"/>
      <c r="X51" s="786"/>
      <c r="Y51" s="786"/>
      <c r="Z51" s="786"/>
    </row>
    <row r="52" spans="1:26" ht="23.25" customHeight="1">
      <c r="A52" s="469">
        <v>4</v>
      </c>
      <c r="B52" s="698"/>
      <c r="C52" s="671" t="s">
        <v>5182</v>
      </c>
      <c r="D52" s="672"/>
      <c r="E52" s="673"/>
      <c r="F52" s="482"/>
      <c r="G52" s="483"/>
      <c r="H52" s="482"/>
      <c r="I52" s="483"/>
      <c r="J52" s="130">
        <f t="shared" si="10"/>
        <v>0</v>
      </c>
      <c r="K52" s="130">
        <f>-I52</f>
        <v>0</v>
      </c>
      <c r="L52" s="113"/>
      <c r="M52" s="111">
        <v>4</v>
      </c>
      <c r="Q52" s="786"/>
      <c r="R52" s="786"/>
      <c r="S52" s="786"/>
      <c r="T52" s="786"/>
      <c r="U52" s="786"/>
      <c r="V52" s="786"/>
      <c r="W52" s="786"/>
      <c r="X52" s="786"/>
      <c r="Y52" s="786"/>
      <c r="Z52" s="786"/>
    </row>
    <row r="53" spans="1:26" ht="23.25" customHeight="1">
      <c r="A53" s="469">
        <v>5</v>
      </c>
      <c r="B53" s="698"/>
      <c r="C53" s="671" t="s">
        <v>5183</v>
      </c>
      <c r="D53" s="672"/>
      <c r="E53" s="673"/>
      <c r="F53" s="482"/>
      <c r="G53" s="483"/>
      <c r="H53" s="482">
        <v>200000</v>
      </c>
      <c r="I53" s="483"/>
      <c r="J53" s="130">
        <f t="shared" si="10"/>
        <v>-200000</v>
      </c>
      <c r="K53" s="130">
        <f t="shared" si="10"/>
        <v>0</v>
      </c>
      <c r="L53" s="113"/>
      <c r="M53" s="111">
        <v>5</v>
      </c>
    </row>
    <row r="54" spans="1:26" ht="23.25" customHeight="1">
      <c r="A54" s="469">
        <v>6</v>
      </c>
      <c r="B54" s="698"/>
      <c r="C54" s="671" t="s">
        <v>5184</v>
      </c>
      <c r="D54" s="672"/>
      <c r="E54" s="673"/>
      <c r="F54" s="482">
        <v>100000</v>
      </c>
      <c r="G54" s="483"/>
      <c r="H54" s="482">
        <v>74000</v>
      </c>
      <c r="I54" s="483"/>
      <c r="J54" s="130">
        <f t="shared" si="10"/>
        <v>-74000</v>
      </c>
      <c r="K54" s="130">
        <f t="shared" si="10"/>
        <v>0</v>
      </c>
      <c r="L54" s="113"/>
      <c r="M54" s="111">
        <v>6</v>
      </c>
    </row>
    <row r="55" spans="1:26" ht="23.25" customHeight="1">
      <c r="A55" s="469">
        <v>7</v>
      </c>
      <c r="B55" s="698"/>
      <c r="C55" s="671" t="s">
        <v>5185</v>
      </c>
      <c r="D55" s="672"/>
      <c r="E55" s="673"/>
      <c r="F55" s="482"/>
      <c r="G55" s="483"/>
      <c r="H55" s="482">
        <v>50000</v>
      </c>
      <c r="I55" s="483"/>
      <c r="J55" s="130">
        <f t="shared" si="10"/>
        <v>-50000</v>
      </c>
      <c r="K55" s="130">
        <f t="shared" si="10"/>
        <v>0</v>
      </c>
      <c r="L55" s="113"/>
      <c r="M55" s="111">
        <v>7</v>
      </c>
    </row>
    <row r="56" spans="1:26" ht="23.25" customHeight="1">
      <c r="A56" s="469">
        <v>8</v>
      </c>
      <c r="B56" s="698"/>
      <c r="C56" s="671" t="s">
        <v>5186</v>
      </c>
      <c r="D56" s="672"/>
      <c r="E56" s="673"/>
      <c r="F56" s="482">
        <v>45000</v>
      </c>
      <c r="G56" s="483"/>
      <c r="H56" s="482">
        <v>33300</v>
      </c>
      <c r="I56" s="483"/>
      <c r="J56" s="130">
        <f t="shared" si="10"/>
        <v>-33300</v>
      </c>
      <c r="K56" s="130">
        <f t="shared" si="10"/>
        <v>0</v>
      </c>
      <c r="L56" s="113"/>
      <c r="M56" s="111">
        <v>8</v>
      </c>
    </row>
    <row r="57" spans="1:26" ht="23.25" customHeight="1">
      <c r="A57" s="469">
        <v>9</v>
      </c>
      <c r="B57" s="698"/>
      <c r="C57" s="671" t="s">
        <v>5187</v>
      </c>
      <c r="D57" s="672"/>
      <c r="E57" s="673"/>
      <c r="F57" s="482">
        <v>100000</v>
      </c>
      <c r="G57" s="483"/>
      <c r="H57" s="482">
        <v>80000</v>
      </c>
      <c r="I57" s="483"/>
      <c r="J57" s="130">
        <f t="shared" si="10"/>
        <v>-80000</v>
      </c>
      <c r="K57" s="130">
        <f t="shared" si="10"/>
        <v>0</v>
      </c>
      <c r="L57" s="113"/>
      <c r="M57" s="111">
        <v>9</v>
      </c>
    </row>
    <row r="58" spans="1:26" ht="23.25" customHeight="1" thickBot="1">
      <c r="A58" s="469">
        <v>10</v>
      </c>
      <c r="B58" s="698"/>
      <c r="C58" s="781"/>
      <c r="D58" s="782"/>
      <c r="E58" s="783"/>
      <c r="F58" s="482"/>
      <c r="G58" s="493"/>
      <c r="H58" s="494"/>
      <c r="I58" s="493"/>
      <c r="J58" s="140">
        <f t="shared" si="10"/>
        <v>0</v>
      </c>
      <c r="K58" s="140">
        <f t="shared" si="10"/>
        <v>0</v>
      </c>
      <c r="L58" s="141"/>
      <c r="M58" s="111">
        <v>10</v>
      </c>
    </row>
    <row r="59" spans="1:26" ht="23.25" customHeight="1" thickBot="1">
      <c r="B59" s="736"/>
      <c r="C59" s="725" t="s">
        <v>2924</v>
      </c>
      <c r="D59" s="726"/>
      <c r="E59" s="727"/>
      <c r="F59" s="142" t="s">
        <v>3157</v>
      </c>
      <c r="G59" s="495" t="s">
        <v>3089</v>
      </c>
      <c r="H59" s="496">
        <v>100000</v>
      </c>
      <c r="I59" s="497">
        <v>0</v>
      </c>
      <c r="J59" s="143">
        <f>-H59</f>
        <v>-100000</v>
      </c>
      <c r="K59" s="143">
        <f>-I59</f>
        <v>0</v>
      </c>
      <c r="L59" s="144"/>
    </row>
    <row r="60" spans="1:26" ht="23.25" customHeight="1" thickBot="1">
      <c r="B60" s="736"/>
      <c r="C60" s="725" t="s">
        <v>3158</v>
      </c>
      <c r="D60" s="726"/>
      <c r="E60" s="727"/>
      <c r="F60" s="496">
        <v>-1734322</v>
      </c>
      <c r="G60" s="498">
        <v>0</v>
      </c>
      <c r="H60" s="146"/>
      <c r="I60" s="147"/>
      <c r="J60" s="148">
        <f>F60</f>
        <v>-1734322</v>
      </c>
      <c r="K60" s="147"/>
      <c r="L60" s="149"/>
      <c r="M60" s="728" t="s">
        <v>3159</v>
      </c>
      <c r="N60" s="792"/>
    </row>
    <row r="61" spans="1:26" ht="24" thickBot="1">
      <c r="B61" s="795" t="s">
        <v>3160</v>
      </c>
      <c r="C61" s="796"/>
      <c r="D61" s="796"/>
      <c r="E61" s="796"/>
      <c r="F61" s="150">
        <f>SUM(F60)</f>
        <v>-1734322</v>
      </c>
      <c r="G61" s="150">
        <f>SUM(G60)</f>
        <v>0</v>
      </c>
      <c r="H61" s="150">
        <f>SUM(H49:H60)</f>
        <v>537300</v>
      </c>
      <c r="I61" s="150">
        <f>SUM(I49:I60)</f>
        <v>0</v>
      </c>
      <c r="J61" s="150">
        <f>SUM(J49:J60)</f>
        <v>-2271622</v>
      </c>
      <c r="K61" s="150">
        <f>SUM(K49:K60)</f>
        <v>0</v>
      </c>
      <c r="L61" s="151"/>
      <c r="M61" s="793"/>
      <c r="N61" s="794"/>
    </row>
    <row r="62" spans="1:26" ht="31.5" thickTop="1" thickBot="1">
      <c r="A62" s="478"/>
      <c r="B62" s="787" t="s">
        <v>3161</v>
      </c>
      <c r="C62" s="788"/>
      <c r="D62" s="788"/>
      <c r="E62" s="788"/>
      <c r="F62" s="499">
        <f t="shared" ref="F62:K62" si="11">F48+F61</f>
        <v>34661551</v>
      </c>
      <c r="G62" s="499">
        <f t="shared" si="11"/>
        <v>0</v>
      </c>
      <c r="H62" s="499">
        <f t="shared" si="11"/>
        <v>27319832</v>
      </c>
      <c r="I62" s="499">
        <f t="shared" si="11"/>
        <v>0</v>
      </c>
      <c r="J62" s="499">
        <f t="shared" si="11"/>
        <v>7341719</v>
      </c>
      <c r="K62" s="499">
        <f t="shared" si="11"/>
        <v>0</v>
      </c>
      <c r="L62" s="152">
        <f>IF(F62=0,"",ROUNDDOWN(J62/F62,3))</f>
        <v>0.21099999999999999</v>
      </c>
      <c r="M62" s="153" t="s">
        <v>3162</v>
      </c>
      <c r="N62" s="500" t="s">
        <v>3163</v>
      </c>
      <c r="Q62" s="714" t="s">
        <v>3154</v>
      </c>
      <c r="R62" s="786"/>
      <c r="S62" s="786"/>
      <c r="T62" s="786"/>
      <c r="U62" s="786"/>
      <c r="V62" s="786"/>
      <c r="W62" s="786"/>
      <c r="X62" s="786"/>
      <c r="Y62" s="786"/>
      <c r="Z62" s="786"/>
    </row>
    <row r="63" spans="1:26" ht="24" thickTop="1">
      <c r="A63" s="469">
        <v>1</v>
      </c>
      <c r="B63" s="789" t="s">
        <v>3164</v>
      </c>
      <c r="C63" s="780" t="s">
        <v>4596</v>
      </c>
      <c r="D63" s="780"/>
      <c r="E63" s="780"/>
      <c r="F63" s="489">
        <v>638000</v>
      </c>
      <c r="G63" s="490">
        <v>0</v>
      </c>
      <c r="H63" s="489">
        <v>510400</v>
      </c>
      <c r="I63" s="490">
        <v>0</v>
      </c>
      <c r="J63" s="128">
        <f>F63-H63</f>
        <v>127600</v>
      </c>
      <c r="K63" s="128">
        <f>G63-I63</f>
        <v>0</v>
      </c>
      <c r="L63" s="154">
        <f>IF(F63=0,"",ROUNDDOWN(J63/F63,3))</f>
        <v>0.2</v>
      </c>
      <c r="M63" s="155" t="str">
        <f>IF(G63=0,"",ROUNDDOWN(K63/G63,3))</f>
        <v/>
      </c>
      <c r="N63" s="156">
        <v>0.2</v>
      </c>
      <c r="O63" s="111">
        <v>1</v>
      </c>
      <c r="Q63" s="786"/>
      <c r="R63" s="786"/>
      <c r="S63" s="786"/>
      <c r="T63" s="786"/>
      <c r="U63" s="786"/>
      <c r="V63" s="786"/>
      <c r="W63" s="786"/>
      <c r="X63" s="786"/>
      <c r="Y63" s="786"/>
      <c r="Z63" s="786"/>
    </row>
    <row r="64" spans="1:26">
      <c r="A64" s="469">
        <v>2</v>
      </c>
      <c r="B64" s="790"/>
      <c r="C64" s="765" t="s">
        <v>5188</v>
      </c>
      <c r="D64" s="765"/>
      <c r="E64" s="765"/>
      <c r="F64" s="482">
        <v>125000</v>
      </c>
      <c r="G64" s="483"/>
      <c r="H64" s="482">
        <v>100000</v>
      </c>
      <c r="I64" s="483"/>
      <c r="J64" s="130">
        <f>F64-H64</f>
        <v>25000</v>
      </c>
      <c r="K64" s="130">
        <f>G64-I64</f>
        <v>0</v>
      </c>
      <c r="L64" s="157">
        <f>IF(F64=0,"",ROUNDDOWN(J64/F64,3))</f>
        <v>0.2</v>
      </c>
      <c r="M64" s="158" t="str">
        <f t="shared" ref="M64:M71" si="12">IF(G64=0,"",ROUNDDOWN(K64/G64,3))</f>
        <v/>
      </c>
      <c r="N64" s="159">
        <v>0.2</v>
      </c>
      <c r="O64" s="111">
        <v>2</v>
      </c>
      <c r="Q64" s="786"/>
      <c r="R64" s="786"/>
      <c r="S64" s="786"/>
      <c r="T64" s="786"/>
      <c r="U64" s="786"/>
      <c r="V64" s="786"/>
      <c r="W64" s="786"/>
      <c r="X64" s="786"/>
      <c r="Y64" s="786"/>
      <c r="Z64" s="786"/>
    </row>
    <row r="65" spans="1:26">
      <c r="A65" s="469">
        <v>3</v>
      </c>
      <c r="B65" s="790"/>
      <c r="C65" s="765" t="s">
        <v>2776</v>
      </c>
      <c r="D65" s="765"/>
      <c r="E65" s="765"/>
      <c r="F65" s="482"/>
      <c r="G65" s="483"/>
      <c r="H65" s="482"/>
      <c r="I65" s="483"/>
      <c r="J65" s="130">
        <f t="shared" ref="J65:K72" si="13">F65-H65</f>
        <v>0</v>
      </c>
      <c r="K65" s="130">
        <f t="shared" si="13"/>
        <v>0</v>
      </c>
      <c r="L65" s="157" t="str">
        <f t="shared" ref="L65:L71" si="14">IF(F65=0,"",ROUNDDOWN(J65/F65,3))</f>
        <v/>
      </c>
      <c r="M65" s="158" t="str">
        <f t="shared" si="12"/>
        <v/>
      </c>
      <c r="N65" s="159">
        <v>0.2</v>
      </c>
      <c r="O65" s="111">
        <v>3</v>
      </c>
      <c r="Q65" s="786"/>
      <c r="R65" s="786"/>
      <c r="S65" s="786"/>
      <c r="T65" s="786"/>
      <c r="U65" s="786"/>
      <c r="V65" s="786"/>
      <c r="W65" s="786"/>
      <c r="X65" s="786"/>
      <c r="Y65" s="786"/>
      <c r="Z65" s="786"/>
    </row>
    <row r="66" spans="1:26">
      <c r="A66" s="469">
        <v>4</v>
      </c>
      <c r="B66" s="790"/>
      <c r="C66" s="765" t="s">
        <v>5189</v>
      </c>
      <c r="D66" s="765"/>
      <c r="E66" s="765"/>
      <c r="F66" s="482"/>
      <c r="G66" s="483"/>
      <c r="H66" s="482"/>
      <c r="I66" s="483"/>
      <c r="J66" s="130">
        <f t="shared" si="13"/>
        <v>0</v>
      </c>
      <c r="K66" s="130">
        <f t="shared" si="13"/>
        <v>0</v>
      </c>
      <c r="L66" s="157" t="str">
        <f t="shared" si="14"/>
        <v/>
      </c>
      <c r="M66" s="158" t="str">
        <f t="shared" si="12"/>
        <v/>
      </c>
      <c r="N66" s="159">
        <v>0.2</v>
      </c>
      <c r="O66" s="111">
        <v>4</v>
      </c>
      <c r="Q66" s="786"/>
      <c r="R66" s="786"/>
      <c r="S66" s="786"/>
      <c r="T66" s="786"/>
      <c r="U66" s="786"/>
      <c r="V66" s="786"/>
      <c r="W66" s="786"/>
      <c r="X66" s="786"/>
      <c r="Y66" s="786"/>
      <c r="Z66" s="786"/>
    </row>
    <row r="67" spans="1:26">
      <c r="A67" s="469">
        <v>5</v>
      </c>
      <c r="B67" s="790"/>
      <c r="C67" s="765" t="s">
        <v>5190</v>
      </c>
      <c r="D67" s="765"/>
      <c r="E67" s="765"/>
      <c r="F67" s="482">
        <v>250000</v>
      </c>
      <c r="G67" s="483"/>
      <c r="H67" s="482">
        <v>212500</v>
      </c>
      <c r="I67" s="483"/>
      <c r="J67" s="130">
        <f t="shared" si="13"/>
        <v>37500</v>
      </c>
      <c r="K67" s="130">
        <f>G67-I67</f>
        <v>0</v>
      </c>
      <c r="L67" s="157">
        <f t="shared" si="14"/>
        <v>0.15</v>
      </c>
      <c r="M67" s="158" t="str">
        <f t="shared" si="12"/>
        <v/>
      </c>
      <c r="N67" s="159">
        <v>0.2</v>
      </c>
      <c r="O67" s="111">
        <v>5</v>
      </c>
    </row>
    <row r="68" spans="1:26">
      <c r="A68" s="469">
        <v>6</v>
      </c>
      <c r="B68" s="790"/>
      <c r="C68" s="765" t="s">
        <v>5191</v>
      </c>
      <c r="D68" s="765"/>
      <c r="E68" s="765"/>
      <c r="F68" s="482">
        <v>445738</v>
      </c>
      <c r="G68" s="483"/>
      <c r="H68" s="482">
        <v>356590</v>
      </c>
      <c r="I68" s="483"/>
      <c r="J68" s="130">
        <f t="shared" si="13"/>
        <v>89148</v>
      </c>
      <c r="K68" s="130">
        <f>G68-I68</f>
        <v>0</v>
      </c>
      <c r="L68" s="157">
        <f t="shared" si="14"/>
        <v>0.2</v>
      </c>
      <c r="M68" s="158" t="str">
        <f t="shared" si="12"/>
        <v/>
      </c>
      <c r="N68" s="159">
        <v>0.2</v>
      </c>
      <c r="O68" s="111">
        <v>6</v>
      </c>
    </row>
    <row r="69" spans="1:26">
      <c r="A69" s="469">
        <v>7</v>
      </c>
      <c r="B69" s="790"/>
      <c r="C69" s="765"/>
      <c r="D69" s="765"/>
      <c r="E69" s="765"/>
      <c r="F69" s="482"/>
      <c r="G69" s="483"/>
      <c r="H69" s="482"/>
      <c r="I69" s="483"/>
      <c r="J69" s="130">
        <f t="shared" si="13"/>
        <v>0</v>
      </c>
      <c r="K69" s="130">
        <f>G69-I69</f>
        <v>0</v>
      </c>
      <c r="L69" s="157" t="str">
        <f t="shared" si="14"/>
        <v/>
      </c>
      <c r="M69" s="158" t="str">
        <f t="shared" si="12"/>
        <v/>
      </c>
      <c r="N69" s="159">
        <v>0.2</v>
      </c>
      <c r="O69" s="111">
        <v>7</v>
      </c>
    </row>
    <row r="70" spans="1:26">
      <c r="A70" s="469">
        <v>8</v>
      </c>
      <c r="B70" s="790"/>
      <c r="C70" s="765"/>
      <c r="D70" s="765"/>
      <c r="E70" s="765"/>
      <c r="F70" s="482"/>
      <c r="G70" s="483"/>
      <c r="H70" s="482"/>
      <c r="I70" s="483"/>
      <c r="J70" s="130">
        <f t="shared" si="13"/>
        <v>0</v>
      </c>
      <c r="K70" s="130">
        <f>G70-I70</f>
        <v>0</v>
      </c>
      <c r="L70" s="157" t="str">
        <f t="shared" si="14"/>
        <v/>
      </c>
      <c r="M70" s="158" t="str">
        <f t="shared" si="12"/>
        <v/>
      </c>
      <c r="N70" s="159">
        <v>0.2</v>
      </c>
      <c r="O70" s="111">
        <v>8</v>
      </c>
    </row>
    <row r="71" spans="1:26">
      <c r="A71" s="469">
        <v>9</v>
      </c>
      <c r="B71" s="790"/>
      <c r="C71" s="765"/>
      <c r="D71" s="765"/>
      <c r="E71" s="765"/>
      <c r="F71" s="482"/>
      <c r="G71" s="483"/>
      <c r="H71" s="482"/>
      <c r="I71" s="483"/>
      <c r="J71" s="130">
        <f t="shared" si="13"/>
        <v>0</v>
      </c>
      <c r="K71" s="130">
        <f t="shared" si="13"/>
        <v>0</v>
      </c>
      <c r="L71" s="157" t="str">
        <f t="shared" si="14"/>
        <v/>
      </c>
      <c r="M71" s="158" t="str">
        <f t="shared" si="12"/>
        <v/>
      </c>
      <c r="N71" s="159">
        <v>0.2</v>
      </c>
      <c r="O71" s="111">
        <v>9</v>
      </c>
    </row>
    <row r="72" spans="1:26">
      <c r="A72" s="469">
        <v>10</v>
      </c>
      <c r="B72" s="791"/>
      <c r="C72" s="784"/>
      <c r="D72" s="784"/>
      <c r="E72" s="784"/>
      <c r="F72" s="485"/>
      <c r="G72" s="486"/>
      <c r="H72" s="485"/>
      <c r="I72" s="486"/>
      <c r="J72" s="132">
        <f t="shared" si="13"/>
        <v>0</v>
      </c>
      <c r="K72" s="132">
        <f>G72-I72</f>
        <v>0</v>
      </c>
      <c r="L72" s="160" t="str">
        <f>IF(F72=0,"",ROUNDDOWN(J72/F72,3))</f>
        <v/>
      </c>
      <c r="M72" s="161" t="str">
        <f>IF(G72=0,"",ROUNDDOWN(K72/G72,3))</f>
        <v/>
      </c>
      <c r="N72" s="162">
        <v>0.2</v>
      </c>
      <c r="O72" s="111">
        <v>10</v>
      </c>
    </row>
    <row r="73" spans="1:26" ht="24" thickBot="1">
      <c r="B73" s="805" t="s">
        <v>3145</v>
      </c>
      <c r="C73" s="806"/>
      <c r="D73" s="806"/>
      <c r="E73" s="806"/>
      <c r="F73" s="134">
        <f t="shared" ref="F73:K73" si="15">SUM(F63:F72)</f>
        <v>1458738</v>
      </c>
      <c r="G73" s="134">
        <f t="shared" si="15"/>
        <v>0</v>
      </c>
      <c r="H73" s="134">
        <f t="shared" si="15"/>
        <v>1179490</v>
      </c>
      <c r="I73" s="134">
        <f t="shared" si="15"/>
        <v>0</v>
      </c>
      <c r="J73" s="134">
        <f t="shared" si="15"/>
        <v>279248</v>
      </c>
      <c r="K73" s="134">
        <f t="shared" si="15"/>
        <v>0</v>
      </c>
      <c r="L73" s="163"/>
      <c r="M73" s="501"/>
      <c r="N73" s="502"/>
    </row>
    <row r="74" spans="1:26" s="471" customFormat="1" ht="11.25">
      <c r="L74" s="164"/>
      <c r="M74" s="164"/>
    </row>
    <row r="75" spans="1:26">
      <c r="A75" s="469">
        <v>9</v>
      </c>
      <c r="B75" s="471"/>
      <c r="C75" s="807" t="s">
        <v>3165</v>
      </c>
      <c r="D75" s="807"/>
      <c r="E75" s="807"/>
      <c r="F75" s="503" t="s">
        <v>3629</v>
      </c>
      <c r="G75" s="504">
        <f>G6</f>
        <v>136.21</v>
      </c>
      <c r="H75" s="165">
        <f>IF(D7="クレバリーホーム",G6*2000,0)</f>
        <v>0</v>
      </c>
      <c r="I75" s="505"/>
      <c r="J75" s="505"/>
      <c r="K75" s="505"/>
      <c r="L75" s="506"/>
      <c r="M75" s="164"/>
      <c r="N75" s="471"/>
    </row>
    <row r="76" spans="1:26" s="471" customFormat="1" ht="12" thickBot="1">
      <c r="L76" s="164"/>
      <c r="M76" s="164"/>
    </row>
    <row r="77" spans="1:26" ht="31.5" thickTop="1" thickBot="1">
      <c r="A77" s="478"/>
      <c r="B77" s="787" t="s">
        <v>3166</v>
      </c>
      <c r="C77" s="788"/>
      <c r="D77" s="788"/>
      <c r="E77" s="788"/>
      <c r="F77" s="499">
        <f>F62+F73</f>
        <v>36120289</v>
      </c>
      <c r="G77" s="499">
        <f>G62+G73</f>
        <v>0</v>
      </c>
      <c r="H77" s="499">
        <f>H62+H73+H75</f>
        <v>28499322</v>
      </c>
      <c r="I77" s="499">
        <f>I62+I73</f>
        <v>0</v>
      </c>
      <c r="J77" s="499">
        <f>F77-H77</f>
        <v>7620967</v>
      </c>
      <c r="K77" s="499">
        <f>G77-I77</f>
        <v>0</v>
      </c>
      <c r="L77" s="152">
        <f>IF(F77=0,"",ROUNDDOWN(J77/F77,3))</f>
        <v>0.21</v>
      </c>
      <c r="M77" s="476"/>
    </row>
    <row r="78" spans="1:26" s="471" customFormat="1" ht="12" thickTop="1">
      <c r="L78" s="164"/>
      <c r="M78" s="808" t="s">
        <v>3124</v>
      </c>
      <c r="N78" s="809"/>
    </row>
    <row r="79" spans="1:26" ht="24" thickBot="1">
      <c r="G79" s="476" t="s">
        <v>3167</v>
      </c>
      <c r="H79" s="476" t="s">
        <v>3168</v>
      </c>
      <c r="I79" s="476" t="s">
        <v>3138</v>
      </c>
      <c r="J79" s="476"/>
      <c r="K79" s="476" t="s">
        <v>3169</v>
      </c>
      <c r="L79" s="145" t="s">
        <v>3170</v>
      </c>
      <c r="M79" s="808"/>
      <c r="N79" s="809"/>
    </row>
    <row r="80" spans="1:26" ht="31.5" thickTop="1" thickBot="1">
      <c r="A80" s="478"/>
      <c r="B80" s="810" t="s">
        <v>3171</v>
      </c>
      <c r="C80" s="811"/>
      <c r="D80" s="811"/>
      <c r="E80" s="811"/>
      <c r="F80" s="507">
        <f>F77</f>
        <v>36120289</v>
      </c>
      <c r="G80" s="508">
        <v>0</v>
      </c>
      <c r="H80" s="507">
        <f>F80+G80</f>
        <v>36120289</v>
      </c>
      <c r="I80" s="509">
        <f>I77</f>
        <v>0</v>
      </c>
      <c r="K80" s="510">
        <f>H80-I80</f>
        <v>36120289</v>
      </c>
      <c r="L80" s="166">
        <f>IF(H80=0,"",ROUNDDOWN(K80/H80,3))</f>
        <v>1</v>
      </c>
      <c r="M80" s="808"/>
      <c r="N80" s="809"/>
    </row>
    <row r="81" spans="1:21" s="471" customFormat="1" ht="12.75" thickTop="1" thickBot="1">
      <c r="L81" s="164"/>
      <c r="M81" s="164"/>
    </row>
    <row r="82" spans="1:21" ht="31.5" thickTop="1" thickBot="1">
      <c r="A82" s="478"/>
      <c r="B82" s="797" t="s">
        <v>3172</v>
      </c>
      <c r="C82" s="798"/>
      <c r="D82" s="798"/>
      <c r="E82" s="511" t="s">
        <v>3173</v>
      </c>
      <c r="F82" s="512">
        <f>ROUNDDOWN(F80*G82,0)</f>
        <v>3612028</v>
      </c>
      <c r="G82" s="513">
        <f>消費税率/100</f>
        <v>0.1</v>
      </c>
      <c r="H82" s="514" t="s">
        <v>3174</v>
      </c>
      <c r="I82" s="750"/>
      <c r="J82" s="751"/>
      <c r="K82" s="751"/>
      <c r="L82" s="751"/>
      <c r="M82" s="751"/>
      <c r="N82" s="751"/>
      <c r="O82" s="752"/>
      <c r="R82" s="469" t="s">
        <v>3175</v>
      </c>
    </row>
    <row r="83" spans="1:21" ht="30.75" thickTop="1">
      <c r="A83" s="478"/>
      <c r="B83" s="799"/>
      <c r="C83" s="800"/>
      <c r="D83" s="800"/>
      <c r="E83" s="515" t="s">
        <v>3176</v>
      </c>
      <c r="F83" s="516">
        <f>F80+F82</f>
        <v>39732317</v>
      </c>
      <c r="G83" s="517" t="s">
        <v>3177</v>
      </c>
      <c r="I83" s="753"/>
      <c r="J83" s="754"/>
      <c r="K83" s="754"/>
      <c r="L83" s="754"/>
      <c r="M83" s="754"/>
      <c r="N83" s="754"/>
      <c r="O83" s="755"/>
      <c r="R83" s="518" t="s">
        <v>3178</v>
      </c>
      <c r="S83" s="519">
        <f>F62</f>
        <v>34661551</v>
      </c>
      <c r="T83" s="519">
        <f>J62</f>
        <v>7341719</v>
      </c>
      <c r="U83" s="167">
        <f>ROUNDDOWN(T83/S83,3)</f>
        <v>0.21099999999999999</v>
      </c>
    </row>
    <row r="84" spans="1:21" ht="30.75" thickBot="1">
      <c r="A84" s="478"/>
      <c r="B84" s="801" t="s">
        <v>3179</v>
      </c>
      <c r="C84" s="802"/>
      <c r="D84" s="802"/>
      <c r="E84" s="802"/>
      <c r="F84" s="520">
        <f>請負金額_税込</f>
        <v>39732317</v>
      </c>
      <c r="G84" s="517" t="s">
        <v>3180</v>
      </c>
      <c r="I84" s="753"/>
      <c r="J84" s="754"/>
      <c r="K84" s="754"/>
      <c r="L84" s="754"/>
      <c r="M84" s="754"/>
      <c r="N84" s="754"/>
      <c r="O84" s="755"/>
      <c r="R84" s="518" t="s">
        <v>3181</v>
      </c>
      <c r="S84" s="519">
        <f>F77</f>
        <v>36120289</v>
      </c>
      <c r="T84" s="519">
        <f>J77</f>
        <v>7620967</v>
      </c>
      <c r="U84" s="167">
        <f>ROUNDDOWN(T84/S84,3)</f>
        <v>0.21</v>
      </c>
    </row>
    <row r="85" spans="1:21" ht="31.5" thickTop="1" thickBot="1">
      <c r="A85" s="478"/>
      <c r="B85" s="803" t="s">
        <v>3182</v>
      </c>
      <c r="C85" s="804"/>
      <c r="D85" s="804"/>
      <c r="E85" s="804"/>
      <c r="F85" s="509">
        <f>F84-F83</f>
        <v>0</v>
      </c>
      <c r="G85" s="517"/>
      <c r="I85" s="756"/>
      <c r="J85" s="757"/>
      <c r="K85" s="757"/>
      <c r="L85" s="757"/>
      <c r="M85" s="757"/>
      <c r="N85" s="757"/>
      <c r="O85" s="758"/>
    </row>
    <row r="86" spans="1:21" ht="24" thickTop="1"/>
    <row r="87" spans="1:21">
      <c r="G87" s="675" t="s">
        <v>3125</v>
      </c>
      <c r="H87" s="766"/>
      <c r="I87" s="766"/>
      <c r="J87" s="766"/>
      <c r="K87" s="766"/>
      <c r="L87" s="469"/>
      <c r="M87" s="521">
        <f>R1</f>
        <v>282085</v>
      </c>
      <c r="N87" s="469" t="s">
        <v>3068</v>
      </c>
      <c r="P87" s="469"/>
    </row>
    <row r="88" spans="1:21" ht="23.25" customHeight="1">
      <c r="G88" s="766"/>
      <c r="H88" s="766"/>
      <c r="I88" s="766"/>
      <c r="J88" s="766"/>
      <c r="K88" s="766"/>
      <c r="L88" s="549"/>
      <c r="M88" s="669" t="str">
        <f>IF(M87&lt;&gt;"",HYPERLINK("https://nextoffice.next-hd.co.jp/pleasanter/items/"&amp;M87&amp;"/edit#FieldSetTab2","▶▶▶粗利益計算書を開く"),"✕✕✕ 粗利益計算書は未登録")</f>
        <v>▶▶▶粗利益計算書を開く</v>
      </c>
      <c r="N88" s="669"/>
      <c r="O88" s="669"/>
      <c r="P88" s="669"/>
      <c r="Q88" s="669"/>
    </row>
    <row r="89" spans="1:21" ht="23.25" customHeight="1">
      <c r="G89" s="766"/>
      <c r="H89" s="766"/>
      <c r="I89" s="766"/>
      <c r="J89" s="766"/>
      <c r="K89" s="766"/>
      <c r="L89" s="549"/>
      <c r="M89" s="669"/>
      <c r="N89" s="669"/>
      <c r="O89" s="669"/>
      <c r="P89" s="669"/>
      <c r="Q89" s="669"/>
    </row>
    <row r="90" spans="1:21">
      <c r="G90" s="766"/>
      <c r="H90" s="766"/>
      <c r="I90" s="766"/>
      <c r="J90" s="766"/>
      <c r="K90" s="766"/>
      <c r="M90" s="469"/>
      <c r="N90" s="484"/>
    </row>
    <row r="91" spans="1:21">
      <c r="G91" s="766"/>
      <c r="H91" s="766"/>
      <c r="I91" s="766"/>
      <c r="J91" s="766"/>
      <c r="K91" s="766"/>
    </row>
    <row r="92" spans="1:21">
      <c r="G92" s="766"/>
      <c r="H92" s="766"/>
      <c r="I92" s="766"/>
      <c r="J92" s="766"/>
      <c r="K92" s="766"/>
    </row>
    <row r="93" spans="1:21">
      <c r="G93" s="766"/>
      <c r="H93" s="766"/>
      <c r="I93" s="766"/>
      <c r="J93" s="766"/>
      <c r="K93" s="766"/>
    </row>
    <row r="94" spans="1:21">
      <c r="G94" s="766"/>
      <c r="H94" s="766"/>
      <c r="I94" s="766"/>
      <c r="J94" s="766"/>
      <c r="K94" s="766"/>
    </row>
  </sheetData>
  <mergeCells count="103">
    <mergeCell ref="B82:D83"/>
    <mergeCell ref="I82:O85"/>
    <mergeCell ref="B84:E84"/>
    <mergeCell ref="B85:E85"/>
    <mergeCell ref="G87:K94"/>
    <mergeCell ref="C71:E71"/>
    <mergeCell ref="C72:E72"/>
    <mergeCell ref="B73:E73"/>
    <mergeCell ref="C75:E75"/>
    <mergeCell ref="B77:E77"/>
    <mergeCell ref="M78:N80"/>
    <mergeCell ref="B80:E80"/>
    <mergeCell ref="M88:Q89"/>
    <mergeCell ref="C20:E20"/>
    <mergeCell ref="C21:E21"/>
    <mergeCell ref="C18:E18"/>
    <mergeCell ref="Q36:Z42"/>
    <mergeCell ref="B37:B46"/>
    <mergeCell ref="C37:E37"/>
    <mergeCell ref="B62:E62"/>
    <mergeCell ref="C57:E57"/>
    <mergeCell ref="Q62:Z66"/>
    <mergeCell ref="B63:B72"/>
    <mergeCell ref="C63:E63"/>
    <mergeCell ref="C64:E64"/>
    <mergeCell ref="C65:E65"/>
    <mergeCell ref="C66:E66"/>
    <mergeCell ref="C67:E67"/>
    <mergeCell ref="C68:E68"/>
    <mergeCell ref="C69:E69"/>
    <mergeCell ref="C70:E70"/>
    <mergeCell ref="Q48:Z52"/>
    <mergeCell ref="M60:N61"/>
    <mergeCell ref="B61:E61"/>
    <mergeCell ref="C51:E51"/>
    <mergeCell ref="C44:E44"/>
    <mergeCell ref="C45:E45"/>
    <mergeCell ref="C19:E19"/>
    <mergeCell ref="C32:E32"/>
    <mergeCell ref="C33:E33"/>
    <mergeCell ref="B1:G3"/>
    <mergeCell ref="C28:E28"/>
    <mergeCell ref="C29:E29"/>
    <mergeCell ref="C30:E30"/>
    <mergeCell ref="B47:E47"/>
    <mergeCell ref="B48:E48"/>
    <mergeCell ref="C31:E31"/>
    <mergeCell ref="C34:E34"/>
    <mergeCell ref="B35:E35"/>
    <mergeCell ref="B36:E36"/>
    <mergeCell ref="C41:E41"/>
    <mergeCell ref="C42:E42"/>
    <mergeCell ref="C43:E43"/>
    <mergeCell ref="C46:E46"/>
    <mergeCell ref="C38:E38"/>
    <mergeCell ref="C39:E39"/>
    <mergeCell ref="C40:E40"/>
    <mergeCell ref="C16:E16"/>
    <mergeCell ref="C17:E17"/>
    <mergeCell ref="C12:E12"/>
    <mergeCell ref="C13:E13"/>
    <mergeCell ref="C56:E56"/>
    <mergeCell ref="B22:E22"/>
    <mergeCell ref="B23:E23"/>
    <mergeCell ref="B24:E24"/>
    <mergeCell ref="B25:B34"/>
    <mergeCell ref="C25:E25"/>
    <mergeCell ref="C26:E26"/>
    <mergeCell ref="C27:E27"/>
    <mergeCell ref="B49:B60"/>
    <mergeCell ref="C49:E49"/>
    <mergeCell ref="C50:E50"/>
    <mergeCell ref="C58:E58"/>
    <mergeCell ref="C59:E59"/>
    <mergeCell ref="C60:E60"/>
    <mergeCell ref="C52:E52"/>
    <mergeCell ref="C53:E53"/>
    <mergeCell ref="C54:E54"/>
    <mergeCell ref="C55:E55"/>
    <mergeCell ref="R2:S3"/>
    <mergeCell ref="Q13:R13"/>
    <mergeCell ref="C14:E14"/>
    <mergeCell ref="Q14:R15"/>
    <mergeCell ref="C15:E15"/>
    <mergeCell ref="Q5:U12"/>
    <mergeCell ref="B6:C6"/>
    <mergeCell ref="D6:E6"/>
    <mergeCell ref="J6:L6"/>
    <mergeCell ref="B7:C7"/>
    <mergeCell ref="D7:E7"/>
    <mergeCell ref="J7:L7"/>
    <mergeCell ref="B8:C8"/>
    <mergeCell ref="D8:E8"/>
    <mergeCell ref="M8:N9"/>
    <mergeCell ref="H1:N3"/>
    <mergeCell ref="B5:C5"/>
    <mergeCell ref="D5:E5"/>
    <mergeCell ref="J5:L5"/>
    <mergeCell ref="M5:N7"/>
    <mergeCell ref="B10:E10"/>
    <mergeCell ref="M10:N11"/>
    <mergeCell ref="B11:E11"/>
    <mergeCell ref="B12:B21"/>
  </mergeCells>
  <phoneticPr fontId="1"/>
  <dataValidations count="1">
    <dataValidation type="list" allowBlank="1" showInputMessage="1" sqref="G59" xr:uid="{12BDE5B4-A3DE-4123-823C-FAB4CB884EC3}">
      <formula1>"ユーザー,スーモカウンター,社内紹介,賢匠会,不動産,業者,その他"</formula1>
    </dataValidation>
  </dataValidations>
  <printOptions horizontalCentered="1" verticalCentered="1"/>
  <pageMargins left="0.19685039370078741" right="0.19685039370078741" top="0.19685039370078741" bottom="0.19685039370078741" header="0" footer="0"/>
  <pageSetup paperSize="9" scale="41"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30721" r:id="rId4" name="Button 1">
              <controlPr defaultSize="0" print="0" autoFill="0" autoPict="0" macro="[0]!SheetToPdfSave3">
                <anchor moveWithCells="1" sizeWithCells="1">
                  <from>
                    <xdr:col>12</xdr:col>
                    <xdr:colOff>342900</xdr:colOff>
                    <xdr:row>0</xdr:row>
                    <xdr:rowOff>152400</xdr:rowOff>
                  </from>
                  <to>
                    <xdr:col>13</xdr:col>
                    <xdr:colOff>638175</xdr:colOff>
                    <xdr:row>1</xdr:row>
                    <xdr:rowOff>257175</xdr:rowOff>
                  </to>
                </anchor>
              </controlPr>
            </control>
          </mc:Choice>
        </mc:AlternateContent>
      </controls>
    </mc:Choice>
  </mc:AlternateConten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1FD6C5-7E79-424D-9897-CCD341F06CE7}">
  <sheetPr codeName="Sheet15">
    <tabColor rgb="FFFF66FF"/>
    <pageSetUpPr fitToPage="1"/>
  </sheetPr>
  <dimension ref="A1:CP282"/>
  <sheetViews>
    <sheetView view="pageBreakPreview" zoomScaleNormal="115" zoomScaleSheetLayoutView="100" workbookViewId="0">
      <selection activeCell="Y22" sqref="Y22"/>
    </sheetView>
  </sheetViews>
  <sheetFormatPr defaultColWidth="8.125" defaultRowHeight="18"/>
  <cols>
    <col min="1" max="1" width="6.5" style="172" customWidth="1"/>
    <col min="2" max="2" width="8" style="172" customWidth="1"/>
    <col min="3" max="3" width="18.75" style="172" customWidth="1"/>
    <col min="4" max="5" width="6.75" style="172" customWidth="1"/>
    <col min="6" max="6" width="9.375" style="172" customWidth="1"/>
    <col min="7" max="7" width="2.375" style="172" bestFit="1" customWidth="1"/>
    <col min="8" max="8" width="9.375" style="172" customWidth="1"/>
    <col min="9" max="10" width="4.375" style="172" customWidth="1"/>
    <col min="11" max="11" width="2.75" style="172" customWidth="1"/>
    <col min="12" max="15" width="5.5" style="172" customWidth="1"/>
    <col min="16" max="16" width="6.25" style="172" customWidth="1"/>
    <col min="17" max="27" width="5.5" style="172" customWidth="1"/>
    <col min="28" max="28" width="5.125" style="172" customWidth="1"/>
    <col min="29" max="29" width="8.25" style="172" customWidth="1"/>
    <col min="30" max="30" width="2.75" style="172" customWidth="1"/>
    <col min="31" max="31" width="12" style="171" customWidth="1"/>
    <col min="32" max="32" width="3.75" style="170" customWidth="1"/>
    <col min="33" max="34" width="10.625" style="169" customWidth="1"/>
    <col min="35" max="38" width="7.75" style="169" customWidth="1"/>
    <col min="39" max="39" width="3.125" style="169" hidden="1" customWidth="1"/>
    <col min="40" max="40" width="1.625" style="169" hidden="1" customWidth="1"/>
    <col min="41" max="43" width="7.75" style="169" hidden="1" customWidth="1"/>
    <col min="44" max="44" width="2.625" style="169" hidden="1" customWidth="1"/>
    <col min="45" max="46" width="7.75" style="169" customWidth="1"/>
    <col min="47" max="49" width="13.75" style="169" customWidth="1"/>
    <col min="50" max="50" width="7.75" style="169" customWidth="1"/>
    <col min="51" max="51" width="8" style="169" customWidth="1"/>
    <col min="52" max="52" width="16.625" style="169" bestFit="1" customWidth="1"/>
    <col min="53" max="53" width="23.375" style="169" bestFit="1" customWidth="1"/>
    <col min="54" max="54" width="14.875" style="169" bestFit="1" customWidth="1"/>
    <col min="55" max="55" width="14.5" style="169" bestFit="1" customWidth="1"/>
    <col min="56" max="56" width="14.75" style="169" bestFit="1" customWidth="1"/>
    <col min="57" max="57" width="19" style="169" bestFit="1" customWidth="1"/>
    <col min="58" max="58" width="5" style="169" bestFit="1" customWidth="1"/>
    <col min="59" max="59" width="6.25" style="168" bestFit="1" customWidth="1"/>
    <col min="60" max="60" width="15.625" style="168" bestFit="1" customWidth="1"/>
    <col min="61" max="61" width="15.125" style="168" bestFit="1" customWidth="1"/>
    <col min="62" max="62" width="15.25" style="168" bestFit="1" customWidth="1"/>
    <col min="63" max="86" width="8.125" style="168"/>
    <col min="87" max="88" width="15.75" style="168" customWidth="1"/>
    <col min="89" max="89" width="2.75" style="168" customWidth="1"/>
    <col min="90" max="91" width="15.75" style="168" customWidth="1"/>
    <col min="92" max="92" width="2.75" style="168" customWidth="1"/>
    <col min="93" max="94" width="15.75" style="168" customWidth="1"/>
    <col min="95" max="16384" width="8.125" style="168"/>
  </cols>
  <sheetData>
    <row r="1" spans="1:94" s="340" customFormat="1" ht="24.75" thickBot="1">
      <c r="A1" s="349"/>
      <c r="B1" s="348" t="s">
        <v>3475</v>
      </c>
      <c r="C1" s="347"/>
      <c r="D1" s="347"/>
      <c r="E1" s="347"/>
      <c r="F1" s="346"/>
      <c r="G1" s="346"/>
      <c r="H1" s="346"/>
      <c r="I1" s="346"/>
      <c r="J1" s="346"/>
      <c r="K1" s="346"/>
      <c r="L1" s="812" t="s">
        <v>3471</v>
      </c>
      <c r="M1" s="813"/>
      <c r="N1" s="814" t="s">
        <v>3474</v>
      </c>
      <c r="O1" s="815"/>
      <c r="P1" s="815"/>
      <c r="Q1" s="816"/>
      <c r="R1" s="345" t="s">
        <v>3471</v>
      </c>
      <c r="S1" s="817" t="s">
        <v>3473</v>
      </c>
      <c r="T1" s="818"/>
      <c r="U1" s="818"/>
      <c r="V1" s="819" t="s">
        <v>3453</v>
      </c>
      <c r="W1" s="820"/>
      <c r="X1" s="345" t="s">
        <v>3471</v>
      </c>
      <c r="Y1" s="814" t="s">
        <v>3472</v>
      </c>
      <c r="Z1" s="816"/>
      <c r="AA1" s="345" t="s">
        <v>3471</v>
      </c>
      <c r="AB1" s="344"/>
      <c r="AC1" s="344"/>
      <c r="AD1" s="344"/>
      <c r="AE1" s="343" t="s">
        <v>3470</v>
      </c>
      <c r="AF1" s="342"/>
      <c r="AS1" s="341"/>
    </row>
    <row r="2" spans="1:94">
      <c r="B2" s="821" t="s">
        <v>3469</v>
      </c>
      <c r="C2" s="822"/>
      <c r="D2" s="823" t="s">
        <v>3468</v>
      </c>
      <c r="E2" s="824"/>
      <c r="F2" s="339" t="s">
        <v>3356</v>
      </c>
      <c r="G2" s="825" t="s">
        <v>3467</v>
      </c>
      <c r="H2" s="825"/>
      <c r="I2" s="338"/>
      <c r="J2" s="826"/>
      <c r="K2" s="336"/>
      <c r="L2" s="336" t="s">
        <v>3466</v>
      </c>
      <c r="M2" s="337" t="s">
        <v>3465</v>
      </c>
      <c r="N2" s="334" t="s">
        <v>3464</v>
      </c>
      <c r="O2" s="334" t="s">
        <v>3464</v>
      </c>
      <c r="P2" s="334" t="s">
        <v>3463</v>
      </c>
      <c r="Q2" s="334" t="s">
        <v>3463</v>
      </c>
      <c r="R2" s="334" t="s">
        <v>3462</v>
      </c>
      <c r="S2" s="336" t="s">
        <v>3461</v>
      </c>
      <c r="T2" s="336" t="s">
        <v>3460</v>
      </c>
      <c r="U2" s="336" t="s">
        <v>3459</v>
      </c>
      <c r="V2" s="828" t="s">
        <v>3458</v>
      </c>
      <c r="W2" s="829"/>
      <c r="X2" s="335" t="s">
        <v>3457</v>
      </c>
      <c r="Y2" s="334" t="str">
        <f ca="1">IF(
    [R]長期・低炭素 = "長期優良",
    "長期",
    IF(
        [R]長期・低炭素 = "低炭素",
        "低炭素",
        IF(
            [R]長期・低炭素 = "性能評価",
            "性能評価",
            ""
        )
    )
)</f>
        <v>長期</v>
      </c>
      <c r="Z2" s="334" t="s">
        <v>3456</v>
      </c>
      <c r="AA2" s="333" t="s">
        <v>3345</v>
      </c>
      <c r="AB2" s="856" t="s">
        <v>3455</v>
      </c>
      <c r="AC2" s="857"/>
      <c r="AD2" s="323"/>
      <c r="AE2" s="860">
        <f ca="1">[R]着工予定日_参考-[R]契約日_リードタイム</f>
        <v>307</v>
      </c>
      <c r="AS2" s="225"/>
    </row>
    <row r="3" spans="1:94" ht="18.75" thickBot="1">
      <c r="B3" s="862" t="s">
        <v>3454</v>
      </c>
      <c r="C3" s="863"/>
      <c r="D3" s="332" t="s">
        <v>3453</v>
      </c>
      <c r="E3" s="332" t="s">
        <v>3452</v>
      </c>
      <c r="F3" s="864" t="s">
        <v>3451</v>
      </c>
      <c r="G3" s="865"/>
      <c r="H3" s="866"/>
      <c r="I3" s="331"/>
      <c r="J3" s="827"/>
      <c r="K3" s="327"/>
      <c r="L3" s="330" t="s">
        <v>3450</v>
      </c>
      <c r="M3" s="329" t="s">
        <v>3449</v>
      </c>
      <c r="N3" s="325" t="s">
        <v>3448</v>
      </c>
      <c r="O3" s="325" t="s">
        <v>3447</v>
      </c>
      <c r="P3" s="325" t="s">
        <v>3448</v>
      </c>
      <c r="Q3" s="326" t="s">
        <v>3447</v>
      </c>
      <c r="R3" s="325" t="s">
        <v>3446</v>
      </c>
      <c r="S3" s="327" t="s">
        <v>3443</v>
      </c>
      <c r="T3" s="327" t="s">
        <v>3445</v>
      </c>
      <c r="U3" s="327" t="s">
        <v>3444</v>
      </c>
      <c r="V3" s="327" t="s">
        <v>3440</v>
      </c>
      <c r="W3" s="328" t="s">
        <v>3443</v>
      </c>
      <c r="X3" s="327" t="s">
        <v>3442</v>
      </c>
      <c r="Y3" s="326" t="str">
        <f ca="1">IF(
    [R]長期・低炭素 = "性能評価",
    "発行",
    IF(
        [R]長期・低炭素 = "長期・低炭素・性能評価なし",
        "",
        "申込/決済"
    )
)</f>
        <v>申込/決済</v>
      </c>
      <c r="Z3" s="325" t="s">
        <v>3441</v>
      </c>
      <c r="AA3" s="324" t="s">
        <v>3440</v>
      </c>
      <c r="AB3" s="858"/>
      <c r="AC3" s="859"/>
      <c r="AD3" s="323"/>
      <c r="AE3" s="861"/>
      <c r="AM3" s="229"/>
      <c r="AO3" s="867" t="s">
        <v>3439</v>
      </c>
      <c r="AP3" s="868"/>
      <c r="AQ3" s="869"/>
      <c r="AR3" s="258"/>
      <c r="AS3" s="225"/>
      <c r="AY3" s="322"/>
      <c r="AZ3" s="321" t="s">
        <v>3438</v>
      </c>
      <c r="BA3" s="319" t="s">
        <v>3437</v>
      </c>
      <c r="BB3" s="319" t="s">
        <v>3436</v>
      </c>
      <c r="BC3" s="319" t="s">
        <v>3435</v>
      </c>
      <c r="BD3" s="319" t="s">
        <v>3434</v>
      </c>
      <c r="BE3" s="319" t="s">
        <v>3433</v>
      </c>
      <c r="BF3" s="320" t="s">
        <v>3432</v>
      </c>
      <c r="BG3" s="320" t="s">
        <v>3431</v>
      </c>
      <c r="BH3" s="319" t="s">
        <v>3430</v>
      </c>
      <c r="BI3" s="318"/>
      <c r="BJ3" s="175"/>
      <c r="CI3" s="242"/>
      <c r="CJ3" s="242"/>
      <c r="CK3" s="244"/>
      <c r="CL3" s="870" t="s">
        <v>3429</v>
      </c>
      <c r="CM3" s="870"/>
      <c r="CN3" s="244"/>
      <c r="CO3" s="870" t="s">
        <v>3428</v>
      </c>
      <c r="CP3" s="870"/>
    </row>
    <row r="4" spans="1:94">
      <c r="A4" s="830"/>
      <c r="B4" s="834" t="str">
        <f>姓1&amp;" " &amp;名1 &amp;"様"</f>
        <v>田中 勝也様</v>
      </c>
      <c r="C4" s="835"/>
      <c r="D4" s="836">
        <f>請負金額_税込</f>
        <v>39732317</v>
      </c>
      <c r="E4" s="837"/>
      <c r="F4" s="317" t="str">
        <f>[R]階数</f>
        <v>2階建て</v>
      </c>
      <c r="G4" s="838">
        <f>延床面積_坪</f>
        <v>41.19</v>
      </c>
      <c r="H4" s="838"/>
      <c r="I4" s="839" t="str">
        <f>物件種別</f>
        <v>新築</v>
      </c>
      <c r="J4" s="841"/>
      <c r="K4" s="843" t="s">
        <v>3427</v>
      </c>
      <c r="L4" s="312"/>
      <c r="M4" s="313">
        <f ca="1">IF([R]実図確日="",IF(
    OR([R]狭あい = "有り(14日)",[R]狭あい = "有り(30日)"),
    WORKDAY.INTL(
        [R]図確日,
        [R]狭あい_日数,
        [R]火のみ,
        [R]図面確定用日程[図確用日程]
    ),
    WORKDAY.INTL(
        [R]図確日,
        BF8,
        [R]火のみ,
        [R]図面確定用日程[図確用日程]
    )
),[R]実図確日)</f>
        <v>45801</v>
      </c>
      <c r="N4" s="316" t="str">
        <f ca="1">IF(
    [R]埋蔵文化 = "有り",
    "事前あり",
    [R]事前
)</f>
        <v>事前なし</v>
      </c>
      <c r="O4" s="315"/>
      <c r="P4" s="314"/>
      <c r="Q4" s="314"/>
      <c r="R4" s="312"/>
      <c r="S4" s="312"/>
      <c r="T4" s="312"/>
      <c r="U4" s="312"/>
      <c r="V4" s="312"/>
      <c r="W4" s="312"/>
      <c r="X4" s="312"/>
      <c r="Y4" s="313">
        <f ca="1">IF(
    OR(
        [R]長期・低炭素 = "長期・低炭素・性能評価なし",
        [R]長期・低炭素 = "性能評価"
    ),
    "",
    IF(
        [R]長期・低炭素 = "低炭素",
        WORKDAY.INTL(
            [R]確認提出日,
            BF58,
            [R]土と日,
            [R]祝日テーブル[祝日]
        ),
        IF(
            [R]工事種別 = "建替",
            WORKDAY.INTL(
                [R]地耐力調査日,
                BF59,
                [R]土と日,
                [R]祝日テーブル[祝日]
            ),
            IF(
                OR(
                    [R]階数 = "3階建て",
                    [R]階数 = "地下有り"
                ),
                WORKDAY.INTL(
                    [R]確認提出日,
                    BF60,
                    [R]土と日,
                    [R]祝日テーブル[祝日]
                ),
                IF(
                    [R]構造計算有無 = "構造計算有り",
                    WORKDAY.INTL(
                        [R]確認提出日,
                        BF61,
                        [R]土と日,
                        [R]祝日テーブル[祝日]
                    ),
                    WORKDAY.INTL(
                        [R]確認提出日,
                        BF62,
                        [R]土と日,
                        [R]祝日テーブル[祝日]
                    )
                )
            )
        )
    )
)</f>
        <v>45853</v>
      </c>
      <c r="Z4" s="312"/>
      <c r="AA4" s="311"/>
      <c r="AB4" s="846">
        <f ca="1">IF(
    [R]地盤改良着手日 = "",
    IF(
        OR(
            [R]長期・低炭素 = "性能評価",
            [R]長期・低炭素 = "長期・低炭素・性能評価なし"
        ),
        MAX(
            WORKDAY.INTL(
                [R]承認図14日前,
                BF79,
                [R]土と日,
                [R]祝日テーブル[祝日]
            ),
            [R]埋蔵有着工日,
            WORKDAY.INTL(
                [R]地耐力調査日,
                BF81,
                [R]土と日,
                [R]祝日テーブル[祝日]
            )
        ),
        MAX(
            WORKDAY.INTL(
                [R]承認図14日前,
                BF83,
                [R]土と日,
                [R]祝日テーブル[祝日]
            ),
            WORKDAY.INTL(
                [R]長期申込日,
                BF84,
                [R]土と日,
                [R]祝日テーブル[祝日]
            ),
            [R]埋蔵有着工日,
            WORKDAY.INTL(
                [R]地耐力調査日,
                BF86,
                [R]土と日,
                [R]祝日テーブル[祝日]
            )
        )
    ),
    MAX(
        WORKDAY.INTL(
            [R]地盤改良着手日,
            BF88,
            [R]土と日,
            [R]祝日テーブル[祝日]
        ),
        WORKDAY.INTL(
            [R]承認図14日前,
            BF89,
            [R]土と日,
            [R]祝日テーブル[祝日]
        ),
        [R]埋蔵有着工日
    )
)</f>
        <v>45867</v>
      </c>
      <c r="AC4" s="847"/>
      <c r="AD4" s="279"/>
      <c r="AE4" s="290" t="s">
        <v>3426</v>
      </c>
      <c r="AM4" s="310"/>
      <c r="AN4" s="288"/>
      <c r="AO4" s="233">
        <v>44197</v>
      </c>
      <c r="AP4" s="169" t="s">
        <v>3238</v>
      </c>
      <c r="AQ4" s="232"/>
      <c r="AS4" s="225" t="s">
        <v>3425</v>
      </c>
      <c r="AY4" s="309"/>
      <c r="AZ4" s="308"/>
      <c r="BA4" s="306"/>
      <c r="BB4" s="306"/>
      <c r="BC4" s="306"/>
      <c r="BD4" s="306"/>
      <c r="BE4" s="306"/>
      <c r="BF4" s="307"/>
      <c r="BG4" s="307"/>
      <c r="BH4" s="306"/>
      <c r="BI4" s="305"/>
      <c r="BJ4" s="175"/>
      <c r="CI4" s="304" t="s">
        <v>3424</v>
      </c>
      <c r="CJ4" s="304" t="s">
        <v>3423</v>
      </c>
      <c r="CK4" s="244"/>
      <c r="CL4" s="304" t="s">
        <v>3422</v>
      </c>
      <c r="CM4" s="304" t="s">
        <v>3421</v>
      </c>
      <c r="CN4" s="244"/>
      <c r="CO4" s="304" t="s">
        <v>3420</v>
      </c>
      <c r="CP4" s="304" t="s">
        <v>3419</v>
      </c>
    </row>
    <row r="5" spans="1:94" ht="18.75" thickBot="1">
      <c r="A5" s="831"/>
      <c r="B5" s="850" t="str">
        <f>建上地_住居表示</f>
        <v>東京都八王子市台町１丁目2-5</v>
      </c>
      <c r="C5" s="851"/>
      <c r="D5" s="303" t="str">
        <f>変換!$D$23</f>
        <v>中村 賢治</v>
      </c>
      <c r="E5" s="303" t="str">
        <f>変換!$D$26</f>
        <v>遠藤 ユウジ</v>
      </c>
      <c r="F5" s="302">
        <f ca="1">[R]着工予定日_参考</f>
        <v>45867</v>
      </c>
      <c r="G5" s="301" t="s">
        <v>3418</v>
      </c>
      <c r="H5" s="300">
        <f>引渡予定日</f>
        <v>46055</v>
      </c>
      <c r="I5" s="840"/>
      <c r="J5" s="842"/>
      <c r="K5" s="844"/>
      <c r="L5" s="299" t="str">
        <f ca="1">IF(
    [R]構造計算有無 = "構造計算有り",
    "有",
    "無"
)</f>
        <v>無</v>
      </c>
      <c r="M5" s="298"/>
      <c r="N5" s="297" t="str">
        <f ca="1">IF(
    [R]事前提出 = "事前なし",
    "",
    WORKDAY.INTL(
        [R]図確引継日1 + 14,
        BF16,
        [R]土と日,
        [R]祝日テーブル[祝日]
    )
)</f>
        <v/>
      </c>
      <c r="O5" s="297" t="str">
        <f ca="1">IF(
    [R]事前提出 = "事前なし",
    "",
    WORKDAY.INTL(
        [R]事前提出日 + [R]事前日数,
        BF19,
        [R]土と日,
        [R]祝日テーブル[祝日]
    )
)</f>
        <v/>
      </c>
      <c r="P5" s="297">
        <f ca="1">IF(
    OR(
        [R]階数 = "3階建て",
        [R]階数 = "地下有り"
    ),
    IF(
        [R]事前 = "事前なし",
        WORKDAY.INTL(
            [R]図確引継日1,
            BF22,
            [R]土と日,
            [R]祝日テーブル[祝日]
        ),
        IF(
            [R]事前 = "事前あり",
            MAX(
                WORKDAY.INTL(
                    [R]事前決済日,
                    BF23,
                    [R]土と日,
                    [R]祝日テーブル[祝日]
                ),
                WORKDAY.INTL(
                    [R]図確引継日1,
                    BF24,
                    [R]土と日,
                    [R]祝日テーブル[祝日]
                )
            )
        )
    ),
    IF(
        AND(
            [R]事前 = "事前なし",
            [R]構造計算 = "無し"
        ),
        WORKDAY.INTL(
            [R]図確引継日1,
            BF26,
            [R]土と日,
            [R]祝日テーブル[祝日]
        ),
        IF(
            AND(
                [R]事前 = "事前なし",
                [R]構造計算 = "有り"
            ),
            WORKDAY.INTL(
                [R]図確引継日1,
                BF27,
                [R]土と日,
                [R]祝日テーブル[祝日]
            ),
            IF(
                AND(
                    [R]事前 = "事前あり",
                    [R]構造計算 = "無し"
                ),
                WORKDAY.INTL(
                    [R]事前決済日,
                    BF28,
                    [R]土と日,
                    [R]祝日テーブル[祝日]
                ),
                IF(
                    AND(
                        [R]事前 = "事前あり",
                        [R]構造計算 = "有り"
                    ),
                    MAX(
                        WORKDAY.INTL(
                            [R]事前決済日,
                            BF30,
                            [R]土と日,
                            [R]祝日テーブル[祝日]
                        ),
                        WORKDAY.INTL(
                            [R]図確引継日1,
                            BF29,
                            [R]土と日,
                            [R]祝日テーブル[祝日]
                        )
                    )
                )
            )
        )
    )
)</f>
        <v>45814</v>
      </c>
      <c r="Q5" s="297">
        <f ca="1">IF(
    OR(
        [R]階数 = "3階建て",
        [R]階数 = "地下有り"
    ),
    WORKDAY.INTL(
        [R]確認提出日,
        BF31,
        [R]土と日,
        [R]祝日テーブル[祝日]
    ),
    WORKDAY.INTL(
        [R]確認提出日,
        BF32,
        [R]土と日,
        [R]祝日テーブル[祝日]
    )
)</f>
        <v>45828</v>
      </c>
      <c r="R5" s="297">
        <f ca="1">IF(
    [R]構造計算="有り",
    WORKDAY.INTL(
        [R]図確引継日1,
        BF34,
        [R]土と日,
        [R]図面確定用日程[図確用日程]
    ),
    IF(
        [R]長期・低炭素 = "長期・低炭素・性能評価なし",
        WORKDAY.INTL(
            [R]図確引継日1,
            BF35,
            [R]土と日,
            [R]図面確定用日程[図確用日程]
        ),
        WORKDAY.INTL(
            [R]図確引継日1,
            BF36,
            [R]土と日,
            [R]図面確定用日程[図確用日程]
        )
    )
)</f>
        <v>45821</v>
      </c>
      <c r="S5" s="297">
        <f ca="1">IF(
    [R]世帯 = "二世帯",
    WORKDAY.INTL(
        [R]図確引継日2,
        BF38,
        [R]火のみ,
        [R]図面確定用日程[図確用日程]
    ),
    WORKDAY.INTL(
        [R]図確引継日2,
        BF39,
        [R]火のみ,
        [R]図面確定用日程[図確用日程]
    )
)</f>
        <v>45829</v>
      </c>
      <c r="T5" s="297">
        <f ca="1">IF(
    [R]構造計算有無 = "構造計算有り",
    WORKDAY.INTL(
        [R]図確引継日1,
        BF41,
        [R]土と日,
        [R]祝日テーブル[祝日]
    ),
    MAX(
        WORKDAY.INTL(
            [R]仕様打完了日,
            BF42,
            [R]土と日,
            [R]祝日テーブル[祝日]
        ),
        WORKDAY.INTL(
            [R]確認決裁日,
            BF43,
            [R]土と日,
            [R]祝日テーブル[祝日]
        )
    )
)</f>
        <v>45835</v>
      </c>
      <c r="U5" s="297">
        <f ca="1">IF(
    OR(
        [R]階数 = "3階建て",
        [R]階数 = "地下有り"
    ),
    MAX(
    WORKDAY.INTL(
        [R]四者承認図前日,
        BF45,
        [R]火のみ,
        [R]図面確定用日程[図確用日程]
    ),
    WORKDAY.INTL(
        [R]確認決裁日,
        BF46,
        [R]土と日,
        [R]祝日テーブル[祝日]
    )
    ),
    WORKDAY.INTL(
        [R]四者承認図前日,
        BF47,
        [R]火のみ,
        [R]図面確定用日程[図確用日程]
    )
)</f>
        <v>45843</v>
      </c>
      <c r="V5" s="297" t="str">
        <f>IF(
    [R]工事種別 = "新築",
    "",
    [R]確認決裁日 + BF50
)</f>
        <v/>
      </c>
      <c r="W5" s="297" t="str">
        <f>IF(
    [R]工事種別="新築",
    "",
    WORKDAY.INTL(
        [R]解体着手日,
        BF53,
        [R]土と日,
        [R]祝日テーブル[祝日]
    )
)</f>
        <v/>
      </c>
      <c r="X5" s="297">
        <f ca="1">IF(
    [R]工事種別 = "新築",
    WORKDAY.INTL(
        [R]図確引継日1,
        BF55,
        [R]土と日,
        [R]祝日テーブル[祝日]
    ),
    IF(
        [R]解体完了日 = "",
        "",
        WORKDAY.INTL(
            [R]解体完了日,
            BF56,
            [R]土と日,
            [R]祝日テーブル[祝日]
        )
    )
)</f>
        <v>45807</v>
      </c>
      <c r="Y5" s="297" t="str">
        <f ca="1">IF(
    [R]長期・低炭素 = "性能評価",
    IF(
        [R]工事種別 = "建替",
        WORKDAY.INTL(
            [R]地耐力調査日,
            BF64,
            [R]土と日,
            [R]祝日テーブル[祝日]
        ),
        IF(
            OR(
                [R]階数 = "3階建て",
                [R]階数 = "地下有り"
            ),
            WORKDAY.INTL(
                [R]確認提出日,
                BF65,
                [R]土と日,
                [R]祝日テーブル[祝日]
            ),
            IF(
                [R]構造計算有無 = "構造計算有り",
                WORKDAY.INTL(
                    [R]確認提出日,
                    BF66,
                    [R]土と日,
                    [R]祝日テーブル[祝日]
                ),
                WORKDAY.INTL(
                    [R]確認提出日,
                    BF67,
                    [R]土と日,
                    [R]祝日テーブル[祝日]
                )
            )
        )
    ),
    ""
)</f>
        <v/>
      </c>
      <c r="Z5" s="297">
        <f ca="1">[R]着工予定日_参考</f>
        <v>45867</v>
      </c>
      <c r="AA5" s="296">
        <f ca="1">IF(
    [R]地盤改良 = "無し",
    "",
    IF(
        [R]工事種別 = "建替",
        WORKDAY.INTL(
            [R]地耐力調査日,
            BF74,
            [R]土と日,
            [R]祝日テーブル[祝日]
        ),
        IF(
            OR(
                [R]長期・低炭素 = "長期優良",
                [R]長期・低炭素 = "低炭素"
            ),
            WORKDAY.INTL(
                [R]長期申込日,
                BF75,
                [R]土と日,
                [R]祝日テーブル[祝日]
            ),
            MAX(
                WORKDAY.INTL(
                    [R]承認図14日前,
                    BF76,
                    [R]土と日,
                    [R]祝日テーブル[祝日]
                ),
                WORKDAY.INTL(
                    [R]長期性能評価,
                    BF77,
                    [R]土と日,
                    [R]祝日テーブル[祝日]
                )
            )
        )
    )
)</f>
        <v>45860</v>
      </c>
      <c r="AB5" s="848"/>
      <c r="AC5" s="849"/>
      <c r="AD5" s="279"/>
      <c r="AE5" s="871">
        <f ca="1">[R]図確引継日1-[R]契約日_リードタイム</f>
        <v>241</v>
      </c>
      <c r="AM5" s="292"/>
      <c r="AN5" s="291"/>
      <c r="AO5" s="219">
        <v>44198</v>
      </c>
      <c r="AP5" s="169" t="s">
        <v>3238</v>
      </c>
      <c r="AQ5" s="217"/>
      <c r="AS5" s="284" t="s">
        <v>3417</v>
      </c>
      <c r="AT5" s="283"/>
      <c r="AU5" s="271" t="s">
        <v>3416</v>
      </c>
      <c r="AY5" s="185"/>
      <c r="AZ5" s="184" t="s">
        <v>3399</v>
      </c>
      <c r="BA5" s="182"/>
      <c r="BB5" s="182"/>
      <c r="BC5" s="182"/>
      <c r="BD5" s="182"/>
      <c r="BE5" s="182" t="s">
        <v>3415</v>
      </c>
      <c r="BF5" s="183">
        <v>31</v>
      </c>
      <c r="BG5" s="183" t="s">
        <v>3254</v>
      </c>
      <c r="BH5" s="182" t="s">
        <v>3248</v>
      </c>
      <c r="BI5" s="181"/>
      <c r="BJ5" s="175"/>
      <c r="CI5" s="242" t="s">
        <v>3414</v>
      </c>
      <c r="CJ5" s="242">
        <v>1</v>
      </c>
      <c r="CK5" s="244"/>
      <c r="CL5" s="243">
        <v>44562</v>
      </c>
      <c r="CM5" s="242" t="s">
        <v>3200</v>
      </c>
      <c r="CN5" s="244"/>
      <c r="CO5" s="243">
        <v>44562</v>
      </c>
      <c r="CP5" s="242" t="s">
        <v>3202</v>
      </c>
    </row>
    <row r="6" spans="1:94" ht="18.75" thickBot="1">
      <c r="A6" s="832"/>
      <c r="B6" s="873" t="s">
        <v>3413</v>
      </c>
      <c r="C6" s="875" t="str">
        <f>[R]ブランド</f>
        <v>actie</v>
      </c>
      <c r="D6" s="877" t="str">
        <f ca="1">"/ "&amp;[R]長期・低炭素&amp;" /"</f>
        <v>/ 長期優良 /</v>
      </c>
      <c r="E6" s="877"/>
      <c r="F6" s="877"/>
      <c r="G6" s="879" t="str">
        <f ca="1">[R]世帯</f>
        <v>単世帯</v>
      </c>
      <c r="H6" s="879"/>
      <c r="I6" s="879"/>
      <c r="J6" s="880"/>
      <c r="K6" s="845"/>
      <c r="L6" s="294"/>
      <c r="M6" s="294">
        <f ca="1">IF(
    [R]長期・低炭素 = "長期・低炭素・性能評価なし",
    WORKDAY.INTL(
        [R]図確引継日1,
        BF10,
        [R]火のみ,
        [R]図面確定用日程[図確用日程]
    ),
    WORKDAY.INTL(
        [R]図確引継日1,
        BF11,
        [R]火のみ,
        [R]図面確定用日程[図確用日程]
    )
)</f>
        <v>45815</v>
      </c>
      <c r="N6" s="293"/>
      <c r="O6" s="293"/>
      <c r="P6" s="295"/>
      <c r="Q6" s="295"/>
      <c r="R6" s="293"/>
      <c r="S6" s="293"/>
      <c r="T6" s="293"/>
      <c r="U6" s="293"/>
      <c r="V6" s="293"/>
      <c r="W6" s="293"/>
      <c r="X6" s="293"/>
      <c r="Y6" s="294">
        <f ca="1">IF(
    [R]長期申込日 = "",
    "",
    WORKDAY.INTL(
        [R]長期申込日,
        BF69,
        [R]土と日,
        [R]祝日テーブル[祝日]
    )
)</f>
        <v>45870</v>
      </c>
      <c r="Z6" s="293"/>
      <c r="AA6" s="293"/>
      <c r="AB6" s="883">
        <f ca="1">TODAY()</f>
        <v>46104</v>
      </c>
      <c r="AC6" s="884" t="s">
        <v>3412</v>
      </c>
      <c r="AD6" s="279"/>
      <c r="AE6" s="872"/>
      <c r="AM6" s="292"/>
      <c r="AN6" s="291"/>
      <c r="AO6" s="219">
        <v>44199</v>
      </c>
      <c r="AP6" s="169" t="s">
        <v>3238</v>
      </c>
      <c r="AQ6" s="217"/>
      <c r="AS6" s="284" t="s">
        <v>3411</v>
      </c>
      <c r="AT6" s="283"/>
      <c r="AU6" s="271" t="s">
        <v>3410</v>
      </c>
      <c r="AY6" s="180"/>
      <c r="AZ6" s="179"/>
      <c r="BA6" s="177"/>
      <c r="BB6" s="177"/>
      <c r="BC6" s="177"/>
      <c r="BD6" s="177"/>
      <c r="BE6" s="177"/>
      <c r="BF6" s="178"/>
      <c r="BG6" s="178"/>
      <c r="BH6" s="177"/>
      <c r="BI6" s="176"/>
      <c r="BJ6" s="175"/>
      <c r="CI6" s="242" t="s">
        <v>3409</v>
      </c>
      <c r="CJ6" s="242">
        <v>2</v>
      </c>
      <c r="CK6" s="244"/>
      <c r="CL6" s="243">
        <v>44563</v>
      </c>
      <c r="CM6" s="242" t="s">
        <v>3202</v>
      </c>
      <c r="CN6" s="244"/>
      <c r="CO6" s="243">
        <v>44563</v>
      </c>
      <c r="CP6" s="242" t="s">
        <v>3202</v>
      </c>
    </row>
    <row r="7" spans="1:94" ht="18.75" thickBot="1">
      <c r="A7" s="832"/>
      <c r="B7" s="874"/>
      <c r="C7" s="876"/>
      <c r="D7" s="878"/>
      <c r="E7" s="878"/>
      <c r="F7" s="878"/>
      <c r="G7" s="881"/>
      <c r="H7" s="881"/>
      <c r="I7" s="881"/>
      <c r="J7" s="882"/>
      <c r="K7" s="885" t="s">
        <v>3408</v>
      </c>
      <c r="L7" s="287"/>
      <c r="M7" s="286"/>
      <c r="N7" s="286"/>
      <c r="O7" s="286"/>
      <c r="P7" s="286"/>
      <c r="Q7" s="286"/>
      <c r="R7" s="286"/>
      <c r="S7" s="286"/>
      <c r="T7" s="286"/>
      <c r="U7" s="286"/>
      <c r="V7" s="286"/>
      <c r="W7" s="286"/>
      <c r="X7" s="286"/>
      <c r="Y7" s="286"/>
      <c r="Z7" s="286"/>
      <c r="AA7" s="286"/>
      <c r="AB7" s="883"/>
      <c r="AC7" s="884"/>
      <c r="AD7" s="279"/>
      <c r="AE7" s="290" t="s">
        <v>3407</v>
      </c>
      <c r="AG7" s="169" t="s">
        <v>3406</v>
      </c>
      <c r="AH7" s="289">
        <f ca="1">WORKDAY.INTL([R]契約日_リードタイム,BF5,[R]火のみ,[R]図面確定用日程[図確用日程])</f>
        <v>45596</v>
      </c>
      <c r="AI7" s="288"/>
      <c r="AJ7" s="288"/>
      <c r="AK7" s="288"/>
      <c r="AM7" s="229"/>
      <c r="AO7" s="219"/>
      <c r="AQ7" s="217"/>
      <c r="AS7" s="284" t="s">
        <v>3405</v>
      </c>
      <c r="AT7" s="283"/>
      <c r="AU7" s="271"/>
      <c r="AY7" s="185"/>
      <c r="AZ7" s="184" t="s">
        <v>3404</v>
      </c>
      <c r="BA7" s="207" t="s">
        <v>3403</v>
      </c>
      <c r="BB7" s="207"/>
      <c r="BC7" s="207"/>
      <c r="BD7" s="207"/>
      <c r="BE7" s="207" t="s">
        <v>3399</v>
      </c>
      <c r="BF7" s="208">
        <v>30</v>
      </c>
      <c r="BG7" s="208" t="s">
        <v>3254</v>
      </c>
      <c r="BH7" s="207" t="s">
        <v>3248</v>
      </c>
      <c r="BI7" s="206"/>
      <c r="BJ7" s="175"/>
      <c r="CI7" s="242" t="s">
        <v>3402</v>
      </c>
      <c r="CJ7" s="242">
        <v>3</v>
      </c>
      <c r="CK7" s="244"/>
      <c r="CL7" s="243">
        <v>44564</v>
      </c>
      <c r="CM7" s="242" t="s">
        <v>3202</v>
      </c>
      <c r="CN7" s="244"/>
      <c r="CO7" s="243">
        <v>44564</v>
      </c>
      <c r="CP7" s="242" t="s">
        <v>3202</v>
      </c>
    </row>
    <row r="8" spans="1:94" ht="18.75" thickBot="1">
      <c r="A8" s="831"/>
      <c r="B8" s="888">
        <f ca="1">C14</f>
        <v>45560</v>
      </c>
      <c r="C8" s="890" t="str">
        <f ca="1">[R]主要用途</f>
        <v>一戸建て</v>
      </c>
      <c r="D8" s="878" t="str">
        <f ca="1">IF(
    [R]地盤改良 = "無し",
    "/ 地盤改良無し /",
    "/ 地盤改良有り /"
)</f>
        <v>/ 地盤改良有り /</v>
      </c>
      <c r="E8" s="878"/>
      <c r="F8" s="878"/>
      <c r="G8" s="881" t="str">
        <f ca="1">IF(
    OR(
        [R]構造計算 = "有り",
        [R]階数 = "地下有り",
        [R]階数 = "3階建て"
    ),
    "構造計算有り",
    "構造計算無し"
)</f>
        <v>構造計算無し</v>
      </c>
      <c r="H8" s="881"/>
      <c r="I8" s="881"/>
      <c r="J8" s="882"/>
      <c r="K8" s="886"/>
      <c r="L8" s="287"/>
      <c r="M8" s="286"/>
      <c r="N8" s="286"/>
      <c r="O8" s="286"/>
      <c r="P8" s="286"/>
      <c r="Q8" s="286"/>
      <c r="R8" s="286"/>
      <c r="S8" s="286"/>
      <c r="T8" s="286"/>
      <c r="U8" s="286"/>
      <c r="V8" s="286"/>
      <c r="W8" s="286"/>
      <c r="X8" s="286"/>
      <c r="Y8" s="286"/>
      <c r="Z8" s="286"/>
      <c r="AA8" s="285"/>
      <c r="AB8" s="895">
        <f ca="1">[R]着工予定日_参考-TODAY()</f>
        <v>-237</v>
      </c>
      <c r="AC8" s="896"/>
      <c r="AD8" s="279"/>
      <c r="AE8" s="871">
        <f ca="1">[R]着工予定日_参考-[R]図確引継日1</f>
        <v>66</v>
      </c>
      <c r="AM8" s="229"/>
      <c r="AO8" s="219"/>
      <c r="AQ8" s="217"/>
      <c r="AS8" s="284" t="s">
        <v>3401</v>
      </c>
      <c r="AT8" s="283"/>
      <c r="AU8" s="271"/>
      <c r="AY8" s="185"/>
      <c r="AZ8" s="184"/>
      <c r="BA8" s="182" t="s">
        <v>3400</v>
      </c>
      <c r="BB8" s="182"/>
      <c r="BC8" s="182"/>
      <c r="BD8" s="182"/>
      <c r="BE8" s="182" t="s">
        <v>3399</v>
      </c>
      <c r="BF8" s="183">
        <v>0</v>
      </c>
      <c r="BG8" s="183" t="s">
        <v>3254</v>
      </c>
      <c r="BH8" s="182" t="s">
        <v>3248</v>
      </c>
      <c r="BI8" s="181"/>
      <c r="BJ8" s="175"/>
      <c r="CI8" s="242" t="s">
        <v>3398</v>
      </c>
      <c r="CJ8" s="242">
        <v>4</v>
      </c>
      <c r="CK8" s="244"/>
      <c r="CL8" s="243">
        <v>44571</v>
      </c>
      <c r="CM8" s="242" t="s">
        <v>3199</v>
      </c>
      <c r="CN8" s="244"/>
      <c r="CO8" s="243">
        <v>44565</v>
      </c>
      <c r="CP8" s="242" t="s">
        <v>3202</v>
      </c>
    </row>
    <row r="9" spans="1:94" ht="18.75" thickBot="1">
      <c r="A9" s="833"/>
      <c r="B9" s="889"/>
      <c r="C9" s="891"/>
      <c r="D9" s="892"/>
      <c r="E9" s="892"/>
      <c r="F9" s="892"/>
      <c r="G9" s="893"/>
      <c r="H9" s="893"/>
      <c r="I9" s="893"/>
      <c r="J9" s="894"/>
      <c r="K9" s="887"/>
      <c r="L9" s="282"/>
      <c r="M9" s="281"/>
      <c r="N9" s="281"/>
      <c r="O9" s="281"/>
      <c r="P9" s="281"/>
      <c r="Q9" s="281"/>
      <c r="R9" s="281"/>
      <c r="S9" s="281"/>
      <c r="T9" s="281"/>
      <c r="U9" s="281"/>
      <c r="V9" s="281"/>
      <c r="W9" s="281"/>
      <c r="X9" s="281"/>
      <c r="Y9" s="281"/>
      <c r="Z9" s="281"/>
      <c r="AA9" s="280"/>
      <c r="AB9" s="897"/>
      <c r="AC9" s="898"/>
      <c r="AD9" s="279"/>
      <c r="AE9" s="872"/>
      <c r="AG9" s="852" t="str">
        <f ca="1">IF(
    OR(
        [R]地区計画="有り",
        [R]_53条="有り",
        [R]_76条_区画整理="有り",
        [R]景観条例="有り",
        [R]風致地区="有り",
        [R]お知らせ看板="有り",
        [R]お知らせ看板_練馬="有り",
        [R]緑化計画="有り",
        [R]愛知宅造区域="有り",
        [R]名古屋宅造調書="有り",
        [R]日進小規模="有り",
        [R]建上地_杉並区="有り",
        [R]建上地_武蔵野市="有り",
        [R]建上地_三鷹市="有り",
        [R]天空率="有り",
        [R]建築許可&lt;&gt;"無し"
),
    "事前あり",
    "事前なし"
)</f>
        <v>事前なし</v>
      </c>
      <c r="AH9" s="853"/>
      <c r="AJ9" s="258" t="s">
        <v>3397</v>
      </c>
      <c r="AL9" s="168"/>
      <c r="AM9" s="229"/>
      <c r="AO9" s="219">
        <v>44207</v>
      </c>
      <c r="AP9" s="254" t="s">
        <v>3396</v>
      </c>
      <c r="AQ9" s="217"/>
      <c r="AS9" s="225"/>
      <c r="AY9" s="180"/>
      <c r="AZ9" s="179"/>
      <c r="BA9" s="177"/>
      <c r="BB9" s="177"/>
      <c r="BC9" s="177"/>
      <c r="BD9" s="177"/>
      <c r="BE9" s="177"/>
      <c r="BF9" s="178"/>
      <c r="BG9" s="178"/>
      <c r="BH9" s="177"/>
      <c r="BI9" s="176"/>
      <c r="BJ9" s="175"/>
      <c r="CI9" s="242" t="s">
        <v>3395</v>
      </c>
      <c r="CJ9" s="242">
        <v>5</v>
      </c>
      <c r="CK9" s="244"/>
      <c r="CL9" s="243">
        <v>44603</v>
      </c>
      <c r="CM9" s="242" t="s">
        <v>3198</v>
      </c>
      <c r="CN9" s="244"/>
      <c r="CO9" s="243">
        <v>44566</v>
      </c>
      <c r="CP9" s="242" t="s">
        <v>3202</v>
      </c>
    </row>
    <row r="10" spans="1:94" ht="18" customHeight="1">
      <c r="B10" s="899" t="str">
        <f>IF('R'!$A$1="","リードタイム算定未登録","読み込み完了")</f>
        <v>読み込み完了</v>
      </c>
      <c r="C10" s="899"/>
      <c r="D10" s="899"/>
      <c r="E10" s="899"/>
      <c r="F10" s="899"/>
      <c r="G10" s="899"/>
      <c r="H10" s="899"/>
      <c r="I10" s="899"/>
      <c r="J10" s="899"/>
      <c r="K10" s="899"/>
      <c r="L10" s="278"/>
      <c r="M10" s="278"/>
      <c r="N10" s="278"/>
      <c r="O10" s="278"/>
      <c r="P10" s="278"/>
      <c r="Q10" s="278"/>
      <c r="R10" s="278"/>
      <c r="S10" s="278"/>
      <c r="T10" s="278"/>
      <c r="U10" s="914" t="s">
        <v>3704</v>
      </c>
      <c r="V10" s="914"/>
      <c r="W10" s="914"/>
      <c r="X10" s="914"/>
      <c r="Y10" s="914"/>
      <c r="Z10" s="914"/>
      <c r="AA10" s="914"/>
      <c r="AB10" s="914"/>
      <c r="AC10" s="914"/>
      <c r="AD10" s="914"/>
      <c r="AE10" s="914"/>
      <c r="AG10" s="854" t="s">
        <v>3394</v>
      </c>
      <c r="AH10" s="855"/>
      <c r="AI10" s="260">
        <f ca="1">IF([R]地区計画="有り",[R]地区計画_日数,0)</f>
        <v>0</v>
      </c>
      <c r="AJ10" s="919">
        <f ca="1">IF([R]事前提出="事前なし",0,MAX(AI10:AI26))</f>
        <v>0</v>
      </c>
      <c r="AM10" s="268"/>
      <c r="AO10" s="219">
        <v>44238</v>
      </c>
      <c r="AP10" s="254" t="s">
        <v>3393</v>
      </c>
      <c r="AQ10" s="217"/>
      <c r="AS10" s="225" t="s">
        <v>3392</v>
      </c>
      <c r="AY10" s="185"/>
      <c r="AZ10" s="184" t="s">
        <v>3391</v>
      </c>
      <c r="BA10" s="207" t="s">
        <v>3390</v>
      </c>
      <c r="BB10" s="207"/>
      <c r="BC10" s="207"/>
      <c r="BD10" s="207"/>
      <c r="BE10" s="207" t="s">
        <v>3385</v>
      </c>
      <c r="BF10" s="208">
        <v>7</v>
      </c>
      <c r="BG10" s="208" t="s">
        <v>3254</v>
      </c>
      <c r="BH10" s="207" t="s">
        <v>3248</v>
      </c>
      <c r="BI10" s="206"/>
      <c r="BJ10" s="175"/>
      <c r="CI10" s="242" t="s">
        <v>3389</v>
      </c>
      <c r="CJ10" s="242">
        <v>6</v>
      </c>
      <c r="CK10" s="244"/>
      <c r="CL10" s="243">
        <v>44615</v>
      </c>
      <c r="CM10" s="242" t="s">
        <v>3197</v>
      </c>
      <c r="CN10" s="244"/>
      <c r="CO10" s="243">
        <v>44786</v>
      </c>
      <c r="CP10" s="242" t="s">
        <v>3203</v>
      </c>
    </row>
    <row r="11" spans="1:94" ht="18.75" thickBot="1">
      <c r="B11" s="900"/>
      <c r="C11" s="900"/>
      <c r="D11" s="900"/>
      <c r="E11" s="900"/>
      <c r="F11" s="900"/>
      <c r="G11" s="900"/>
      <c r="H11" s="900"/>
      <c r="I11" s="900"/>
      <c r="J11" s="900"/>
      <c r="K11" s="900"/>
      <c r="L11" s="267"/>
      <c r="M11" s="277"/>
      <c r="N11" s="277"/>
      <c r="O11" s="277"/>
      <c r="P11" s="267"/>
      <c r="Q11" s="277"/>
      <c r="R11" s="277"/>
      <c r="S11" s="277"/>
      <c r="T11" s="277"/>
      <c r="U11" s="914"/>
      <c r="V11" s="914"/>
      <c r="W11" s="914"/>
      <c r="X11" s="914"/>
      <c r="Y11" s="914"/>
      <c r="Z11" s="914"/>
      <c r="AA11" s="914"/>
      <c r="AB11" s="914"/>
      <c r="AC11" s="914"/>
      <c r="AD11" s="914"/>
      <c r="AE11" s="914"/>
      <c r="AG11" s="854" t="s">
        <v>3388</v>
      </c>
      <c r="AH11" s="855"/>
      <c r="AI11" s="260">
        <f ca="1">IF([R]_53条="有り",[R]_53条_日数,0)</f>
        <v>0</v>
      </c>
      <c r="AJ11" s="920"/>
      <c r="AM11" s="268"/>
      <c r="AO11" s="219">
        <v>44250</v>
      </c>
      <c r="AP11" s="254" t="s">
        <v>3387</v>
      </c>
      <c r="AQ11" s="217"/>
      <c r="AS11" s="225"/>
      <c r="AY11" s="185"/>
      <c r="AZ11" s="184"/>
      <c r="BA11" s="182" t="s">
        <v>3386</v>
      </c>
      <c r="BB11" s="182"/>
      <c r="BC11" s="182"/>
      <c r="BD11" s="182"/>
      <c r="BE11" s="182" t="s">
        <v>3385</v>
      </c>
      <c r="BF11" s="183">
        <v>12</v>
      </c>
      <c r="BG11" s="183" t="s">
        <v>3254</v>
      </c>
      <c r="BH11" s="182" t="s">
        <v>3248</v>
      </c>
      <c r="BI11" s="181"/>
      <c r="BJ11" s="175"/>
      <c r="CI11" s="242" t="s">
        <v>3384</v>
      </c>
      <c r="CJ11" s="242">
        <v>7</v>
      </c>
      <c r="CK11" s="244"/>
      <c r="CL11" s="243">
        <v>44641</v>
      </c>
      <c r="CM11" s="242" t="s">
        <v>3196</v>
      </c>
      <c r="CN11" s="244"/>
      <c r="CO11" s="243">
        <v>44787</v>
      </c>
      <c r="CP11" s="242" t="s">
        <v>3203</v>
      </c>
    </row>
    <row r="12" spans="1:94" ht="18" customHeight="1">
      <c r="A12" s="544"/>
      <c r="B12" s="544"/>
      <c r="C12" s="276"/>
      <c r="D12" s="276"/>
      <c r="E12" s="276"/>
      <c r="F12" s="276"/>
      <c r="G12" s="276"/>
      <c r="H12" s="276"/>
      <c r="I12" s="276"/>
      <c r="J12" s="276"/>
      <c r="K12" s="275"/>
      <c r="L12" s="275"/>
      <c r="M12" s="274"/>
      <c r="N12" s="274"/>
      <c r="O12" s="274"/>
      <c r="P12" s="274"/>
      <c r="Q12" s="274"/>
      <c r="R12" s="274"/>
      <c r="S12" s="274"/>
      <c r="T12" s="274"/>
      <c r="U12" s="914"/>
      <c r="V12" s="914"/>
      <c r="W12" s="914"/>
      <c r="X12" s="914"/>
      <c r="Y12" s="914"/>
      <c r="Z12" s="914"/>
      <c r="AA12" s="914"/>
      <c r="AB12" s="914"/>
      <c r="AC12" s="914"/>
      <c r="AD12" s="914"/>
      <c r="AE12" s="914"/>
      <c r="AG12" s="854" t="s">
        <v>3383</v>
      </c>
      <c r="AH12" s="855"/>
      <c r="AI12" s="260">
        <f ca="1">IF([R]_76条_区画整理="有り",[R]_76条_日数,0)</f>
        <v>0</v>
      </c>
      <c r="AJ12" s="920"/>
      <c r="AM12" s="268"/>
      <c r="AO12" s="219"/>
      <c r="AQ12" s="217"/>
      <c r="AS12" s="225" t="s">
        <v>3382</v>
      </c>
      <c r="AY12" s="180"/>
      <c r="AZ12" s="179"/>
      <c r="BA12" s="177"/>
      <c r="BB12" s="177"/>
      <c r="BC12" s="177"/>
      <c r="BD12" s="177"/>
      <c r="BE12" s="177"/>
      <c r="BF12" s="178"/>
      <c r="BG12" s="178"/>
      <c r="BH12" s="177"/>
      <c r="BI12" s="176"/>
      <c r="BJ12" s="175"/>
      <c r="CI12" s="242" t="s">
        <v>3381</v>
      </c>
      <c r="CJ12" s="242">
        <v>11</v>
      </c>
      <c r="CK12" s="244"/>
      <c r="CL12" s="243">
        <v>44680</v>
      </c>
      <c r="CM12" s="242" t="s">
        <v>3195</v>
      </c>
      <c r="CN12" s="244"/>
      <c r="CO12" s="243">
        <v>44788</v>
      </c>
      <c r="CP12" s="242" t="s">
        <v>3203</v>
      </c>
    </row>
    <row r="13" spans="1:94">
      <c r="A13" s="247"/>
      <c r="B13" s="247" t="s">
        <v>3663</v>
      </c>
      <c r="C13" s="273">
        <f>IF(契約日&lt;&gt;"",契約日,IF(設計契約日&lt;&gt;"",設計契約日,"---"))</f>
        <v>45842</v>
      </c>
      <c r="E13" s="915" t="s">
        <v>3380</v>
      </c>
      <c r="F13" s="915"/>
      <c r="G13" s="272"/>
      <c r="K13" s="267"/>
      <c r="L13" s="267"/>
      <c r="M13" s="922" t="s">
        <v>3379</v>
      </c>
      <c r="N13" s="922"/>
      <c r="O13" s="239"/>
      <c r="P13" s="239"/>
      <c r="Q13" s="269"/>
      <c r="R13" s="269"/>
      <c r="S13" s="269"/>
      <c r="T13" s="269"/>
      <c r="U13" s="269"/>
      <c r="V13" s="269"/>
      <c r="W13" s="269"/>
      <c r="X13" s="269"/>
      <c r="Y13" s="269"/>
      <c r="Z13" s="269"/>
      <c r="AA13" s="669" t="str">
        <f ca="1">IF(AW16&lt;&gt;"",HYPERLINK("https://nextoffice.next-hd.co.jp/pleasanter/items/"&amp;AW16&amp;"/edit","▶▶▶リードタイム算定を開く"),"✕✕✕リードタイム算定は未登録")</f>
        <v>▶▶▶リードタイム算定を開く</v>
      </c>
      <c r="AB13" s="669"/>
      <c r="AC13" s="669"/>
      <c r="AD13" s="669"/>
      <c r="AE13" s="669"/>
      <c r="AG13" s="854" t="s">
        <v>3378</v>
      </c>
      <c r="AH13" s="855"/>
      <c r="AI13" s="260">
        <f ca="1">IF(
    AND(
        [R]構造計算 = "有り",
        [R]景観条例 = "有り"
    ),
    [R]構造計算_日数 + [R]景観条例_日数,
    IF(
        [R]景観条例 = "有り",
        [R]景観条例_日数,
        0
    )
)</f>
        <v>0</v>
      </c>
      <c r="AJ13" s="920"/>
      <c r="AM13" s="268"/>
      <c r="AO13" s="219">
        <v>44275</v>
      </c>
      <c r="AP13" s="254" t="s">
        <v>3377</v>
      </c>
      <c r="AQ13" s="217"/>
      <c r="AS13" s="225"/>
      <c r="AY13" s="185"/>
      <c r="AZ13" s="184" t="s">
        <v>3376</v>
      </c>
      <c r="BA13" s="207" t="s">
        <v>3375</v>
      </c>
      <c r="BB13" s="207"/>
      <c r="BC13" s="207"/>
      <c r="BD13" s="207"/>
      <c r="BE13" s="207" t="s">
        <v>3226</v>
      </c>
      <c r="BF13" s="208" t="s">
        <v>3226</v>
      </c>
      <c r="BG13" s="208" t="s">
        <v>3226</v>
      </c>
      <c r="BH13" s="207" t="s">
        <v>3226</v>
      </c>
      <c r="BI13" s="206" t="s">
        <v>3313</v>
      </c>
      <c r="BJ13" s="175"/>
      <c r="CI13" s="242" t="s">
        <v>3374</v>
      </c>
      <c r="CJ13" s="242">
        <v>12</v>
      </c>
      <c r="CK13" s="244"/>
      <c r="CL13" s="243">
        <v>44684</v>
      </c>
      <c r="CM13" s="242" t="s">
        <v>3194</v>
      </c>
      <c r="CN13" s="244"/>
      <c r="CO13" s="243">
        <v>44789</v>
      </c>
      <c r="CP13" s="242" t="s">
        <v>3203</v>
      </c>
    </row>
    <row r="14" spans="1:94">
      <c r="A14" s="907" t="str">
        <f>IF(契約日&lt;&gt;"","契約日",IF(設計契約日&lt;&gt;"","設計契約日","---"))</f>
        <v>契約日</v>
      </c>
      <c r="B14" s="907"/>
      <c r="C14" s="270" cm="1">
        <f t="array" aca="1" ref="C14" ca="1">INDIRECT("'R'!R2C"&amp;MATCH("Date001",'R'!$1:$1,0),FALSE)</f>
        <v>45560</v>
      </c>
      <c r="D14" s="228"/>
      <c r="E14" s="915" t="s">
        <v>3373</v>
      </c>
      <c r="F14" s="915"/>
      <c r="G14" s="916" cm="1">
        <f t="array" aca="1" ref="G14" ca="1">INDIRECT("'R'!R2C"&amp;MATCH("Date003",'R'!$1:$1,0),FALSE)</f>
        <v>45801</v>
      </c>
      <c r="H14" s="916"/>
      <c r="I14" s="916"/>
      <c r="L14" s="267"/>
      <c r="M14" s="168"/>
      <c r="N14" s="239"/>
      <c r="O14" s="239"/>
      <c r="P14" s="239"/>
      <c r="Q14" s="269"/>
      <c r="R14" s="269"/>
      <c r="S14" s="269"/>
      <c r="T14" s="269"/>
      <c r="U14" s="269"/>
      <c r="V14" s="269"/>
      <c r="W14" s="269"/>
      <c r="X14" s="269"/>
      <c r="Y14" s="269"/>
      <c r="Z14" s="269"/>
      <c r="AA14" s="669"/>
      <c r="AB14" s="669"/>
      <c r="AC14" s="669"/>
      <c r="AD14" s="669"/>
      <c r="AE14" s="669"/>
      <c r="AG14" s="854" t="s">
        <v>3372</v>
      </c>
      <c r="AH14" s="855"/>
      <c r="AI14" s="260">
        <f ca="1">IF([R]風致地区="有り",[R]風致地区_日数,0)</f>
        <v>0</v>
      </c>
      <c r="AJ14" s="920"/>
      <c r="AM14" s="229"/>
      <c r="AO14" s="219">
        <v>44315</v>
      </c>
      <c r="AP14" s="254" t="s">
        <v>3371</v>
      </c>
      <c r="AQ14" s="217"/>
      <c r="AS14" s="225"/>
      <c r="AY14" s="185"/>
      <c r="AZ14" s="184"/>
      <c r="BA14" s="182" t="s">
        <v>3370</v>
      </c>
      <c r="BB14" s="182"/>
      <c r="BC14" s="182"/>
      <c r="BD14" s="182"/>
      <c r="BE14" s="182" t="s">
        <v>3226</v>
      </c>
      <c r="BF14" s="183" t="s">
        <v>3226</v>
      </c>
      <c r="BG14" s="183" t="s">
        <v>3226</v>
      </c>
      <c r="BH14" s="182" t="s">
        <v>3226</v>
      </c>
      <c r="BI14" s="181" t="s">
        <v>3369</v>
      </c>
      <c r="BJ14" s="175"/>
      <c r="CI14" s="242" t="s">
        <v>3368</v>
      </c>
      <c r="CJ14" s="242">
        <v>13</v>
      </c>
      <c r="CK14" s="244"/>
      <c r="CL14" s="243">
        <v>44685</v>
      </c>
      <c r="CM14" s="242" t="s">
        <v>3193</v>
      </c>
      <c r="CN14" s="244"/>
      <c r="CO14" s="243">
        <v>44924</v>
      </c>
      <c r="CP14" s="242" t="s">
        <v>3202</v>
      </c>
    </row>
    <row r="15" spans="1:94">
      <c r="A15" s="247"/>
      <c r="B15" s="905" t="s">
        <v>3367</v>
      </c>
      <c r="C15" s="905"/>
      <c r="D15" s="228"/>
      <c r="E15" s="906" t="s">
        <v>3366</v>
      </c>
      <c r="F15" s="906"/>
      <c r="G15" s="906"/>
      <c r="H15" s="906"/>
      <c r="I15" s="906"/>
      <c r="K15" s="267"/>
      <c r="L15" s="267"/>
      <c r="M15" s="168"/>
      <c r="N15" s="239" t="s">
        <v>3365</v>
      </c>
      <c r="O15" s="239"/>
      <c r="P15" s="239"/>
      <c r="Q15" s="168"/>
      <c r="R15" s="168"/>
      <c r="S15" s="168"/>
      <c r="T15" s="168"/>
      <c r="U15" s="168"/>
      <c r="V15" s="269"/>
      <c r="W15" s="269"/>
      <c r="X15" s="269"/>
      <c r="Y15" s="269"/>
      <c r="Z15" s="269"/>
      <c r="AG15" s="854" t="s">
        <v>3364</v>
      </c>
      <c r="AH15" s="855"/>
      <c r="AI15" s="260">
        <f ca="1">IF([R]お知らせ看板="有り",[R]お知らせ看板_日数,0)</f>
        <v>0</v>
      </c>
      <c r="AJ15" s="920"/>
      <c r="AM15" s="229"/>
      <c r="AO15" s="219">
        <v>44319</v>
      </c>
      <c r="AP15" s="254" t="s">
        <v>3363</v>
      </c>
      <c r="AQ15" s="217"/>
      <c r="AS15" s="225"/>
      <c r="AY15" s="180"/>
      <c r="AZ15" s="179"/>
      <c r="BA15" s="177"/>
      <c r="BB15" s="177"/>
      <c r="BC15" s="177"/>
      <c r="BD15" s="177"/>
      <c r="BE15" s="177"/>
      <c r="BF15" s="178"/>
      <c r="BG15" s="178"/>
      <c r="BH15" s="177"/>
      <c r="BI15" s="176"/>
      <c r="BJ15" s="175"/>
      <c r="CI15" s="242" t="s">
        <v>3362</v>
      </c>
      <c r="CJ15" s="242">
        <v>14</v>
      </c>
      <c r="CK15" s="244"/>
      <c r="CL15" s="243">
        <v>44686</v>
      </c>
      <c r="CM15" s="242" t="s">
        <v>3192</v>
      </c>
      <c r="CN15" s="244"/>
      <c r="CO15" s="243">
        <v>44925</v>
      </c>
      <c r="CP15" s="242" t="s">
        <v>3202</v>
      </c>
    </row>
    <row r="16" spans="1:94">
      <c r="A16" s="247"/>
      <c r="B16" s="247"/>
      <c r="D16" s="228"/>
      <c r="K16" s="267"/>
      <c r="L16" s="267"/>
      <c r="M16" s="168"/>
      <c r="N16" s="241" t="s">
        <v>3361</v>
      </c>
      <c r="O16" s="239"/>
      <c r="P16" s="239"/>
      <c r="Q16" s="168"/>
      <c r="R16" s="168"/>
      <c r="S16" s="168"/>
      <c r="T16" s="168"/>
      <c r="U16" s="168"/>
      <c r="V16" s="168"/>
      <c r="W16" s="168"/>
      <c r="X16" s="168"/>
      <c r="Y16" s="168"/>
      <c r="Z16" s="168"/>
      <c r="AG16" s="854" t="s">
        <v>3360</v>
      </c>
      <c r="AH16" s="854"/>
      <c r="AI16" s="260">
        <f ca="1">IF(
    AND(
        [R]構造計算 = "有り",
        [R]お知らせ看板_練馬 = "有り"
    ),
    [R]構造計算_日数 + [R]お知らせ看板_練馬_日数,
    IF(
        [R]お知らせ看板_練馬 = "有り",
        [R]お知らせ看板_練馬_日数,
        0
    )
)</f>
        <v>0</v>
      </c>
      <c r="AJ16" s="920"/>
      <c r="AL16" s="168"/>
      <c r="AM16" s="268"/>
      <c r="AO16" s="219">
        <v>44320</v>
      </c>
      <c r="AP16" s="254" t="s">
        <v>3359</v>
      </c>
      <c r="AQ16" s="217"/>
      <c r="AS16" s="225"/>
      <c r="AU16" s="543" t="s">
        <v>3339</v>
      </c>
      <c r="AV16" s="543" t="s">
        <v>3705</v>
      </c>
      <c r="AW16" s="543" cm="1">
        <f t="array" aca="1" ref="AW16" ca="1">_xlfn.IFNA(INDIRECT("'R'!R2C"&amp;MATCH(AV16,'R'!$1:$1,0),FALSE),"")</f>
        <v>284957</v>
      </c>
      <c r="AY16" s="185"/>
      <c r="AZ16" s="184" t="s">
        <v>3341</v>
      </c>
      <c r="BA16" s="182" t="s">
        <v>3341</v>
      </c>
      <c r="BB16" s="207" t="s">
        <v>3313</v>
      </c>
      <c r="BC16" s="207"/>
      <c r="BD16" s="207"/>
      <c r="BE16" s="207" t="s">
        <v>3358</v>
      </c>
      <c r="BF16" s="208">
        <v>1</v>
      </c>
      <c r="BG16" s="208" t="s">
        <v>3206</v>
      </c>
      <c r="BH16" s="207" t="s">
        <v>3205</v>
      </c>
      <c r="BI16" s="206"/>
      <c r="BJ16" s="175"/>
      <c r="CI16" s="242" t="s">
        <v>3357</v>
      </c>
      <c r="CJ16" s="242">
        <v>15</v>
      </c>
      <c r="CK16" s="244"/>
      <c r="CL16" s="243">
        <v>44760</v>
      </c>
      <c r="CM16" s="242" t="s">
        <v>3191</v>
      </c>
      <c r="CN16" s="244"/>
      <c r="CO16" s="243">
        <v>44926</v>
      </c>
      <c r="CP16" s="242" t="s">
        <v>3202</v>
      </c>
    </row>
    <row r="17" spans="1:94">
      <c r="A17" s="907" t="s">
        <v>3356</v>
      </c>
      <c r="B17" s="907"/>
      <c r="C17" s="266" t="str">
        <f>建物種類</f>
        <v>2階建て</v>
      </c>
      <c r="D17" s="245" t="s">
        <v>3346</v>
      </c>
      <c r="E17" s="907" t="s">
        <v>3355</v>
      </c>
      <c r="F17" s="907"/>
      <c r="G17" s="908" t="str" cm="1">
        <f t="array" aca="1" ref="G17" ca="1">_xlfn.IFS(Class015=0,"一戸建て",Class015=1,"共同住宅など(長屋)")</f>
        <v>一戸建て</v>
      </c>
      <c r="H17" s="908"/>
      <c r="I17" s="908"/>
      <c r="K17" s="267"/>
      <c r="L17" s="267"/>
      <c r="M17" s="168"/>
      <c r="N17" s="239" t="s">
        <v>3354</v>
      </c>
      <c r="O17" s="239"/>
      <c r="P17" s="239"/>
      <c r="Q17" s="168"/>
      <c r="R17" s="168"/>
      <c r="S17" s="168"/>
      <c r="T17" s="168"/>
      <c r="U17" s="168"/>
      <c r="V17" s="168"/>
      <c r="W17" s="168"/>
      <c r="X17" s="168"/>
      <c r="Y17" s="168"/>
      <c r="Z17" s="168"/>
      <c r="AG17" s="854" t="s">
        <v>3283</v>
      </c>
      <c r="AH17" s="855"/>
      <c r="AI17" s="260">
        <f ca="1">IF([R]埋蔵文化="有り",[R]埋蔵文化_日数,0)</f>
        <v>0</v>
      </c>
      <c r="AJ17" s="920"/>
      <c r="AM17" s="229"/>
      <c r="AO17" s="219">
        <v>44321</v>
      </c>
      <c r="AP17" s="254" t="s">
        <v>3353</v>
      </c>
      <c r="AQ17" s="217"/>
      <c r="AS17" s="225"/>
      <c r="AU17" s="543" t="s">
        <v>3339</v>
      </c>
      <c r="AV17" s="543" t="s">
        <v>31</v>
      </c>
      <c r="AW17" s="543" cm="1">
        <f t="array" aca="1" ref="AW17" ca="1">INDIRECT("'R'!R2C"&amp;MATCH(AV17,'R'!$1:$1,0),FALSE)</f>
        <v>0</v>
      </c>
      <c r="AY17" s="185"/>
      <c r="AZ17" s="184"/>
      <c r="BA17" s="182"/>
      <c r="BB17" s="182" t="s">
        <v>3337</v>
      </c>
      <c r="BC17" s="182"/>
      <c r="BD17" s="182"/>
      <c r="BE17" s="264" t="s">
        <v>3226</v>
      </c>
      <c r="BF17" s="265" t="s">
        <v>3226</v>
      </c>
      <c r="BG17" s="265" t="s">
        <v>3226</v>
      </c>
      <c r="BH17" s="264" t="s">
        <v>3226</v>
      </c>
      <c r="BI17" s="263" t="s">
        <v>3225</v>
      </c>
      <c r="BJ17" s="175"/>
      <c r="CI17" s="242" t="s">
        <v>3352</v>
      </c>
      <c r="CJ17" s="242">
        <v>16</v>
      </c>
      <c r="CK17" s="244"/>
      <c r="CL17" s="243">
        <v>44784</v>
      </c>
      <c r="CM17" s="242" t="s">
        <v>3190</v>
      </c>
      <c r="CN17" s="244"/>
      <c r="CO17" s="243">
        <v>44927</v>
      </c>
      <c r="CP17" s="242" t="s">
        <v>3202</v>
      </c>
    </row>
    <row r="18" spans="1:94">
      <c r="A18" s="907" t="s">
        <v>3351</v>
      </c>
      <c r="B18" s="907"/>
      <c r="C18" s="266" t="str">
        <f>_xlfn.XLOOKUP("ItemTitle",JSONデータ!$H:$H,JSONデータ!$I:$I)</f>
        <v>actie</v>
      </c>
      <c r="D18" s="245" t="s">
        <v>3346</v>
      </c>
      <c r="E18" s="907" t="s">
        <v>3350</v>
      </c>
      <c r="F18" s="907"/>
      <c r="G18" s="908" t="str" cm="1">
        <f t="array" aca="1" ref="G18" ca="1">_xlfn.IFS(Class016=0,"単世帯",Class016=1,"二世帯")</f>
        <v>単世帯</v>
      </c>
      <c r="H18" s="908"/>
      <c r="I18" s="908"/>
      <c r="M18" s="168"/>
      <c r="N18" s="239"/>
      <c r="O18" s="239"/>
      <c r="P18" s="239"/>
      <c r="Q18" s="168"/>
      <c r="R18" s="168"/>
      <c r="S18" s="168"/>
      <c r="T18" s="168"/>
      <c r="U18" s="168"/>
      <c r="V18" s="168"/>
      <c r="W18" s="168"/>
      <c r="X18" s="168"/>
      <c r="Y18" s="168"/>
      <c r="Z18" s="168"/>
      <c r="AA18" s="168"/>
      <c r="AB18" s="168"/>
      <c r="AC18" s="168"/>
      <c r="AD18" s="168"/>
      <c r="AE18" s="169"/>
      <c r="AG18" s="904" t="s">
        <v>3327</v>
      </c>
      <c r="AH18" s="904"/>
      <c r="AI18" s="260">
        <f ca="1">IF([R]愛知宅造区域="有り",[R]愛知宅造区域_日数,0)</f>
        <v>0</v>
      </c>
      <c r="AJ18" s="920"/>
      <c r="AM18" s="229"/>
      <c r="AO18" s="219">
        <v>44399</v>
      </c>
      <c r="AP18" s="254" t="s">
        <v>3349</v>
      </c>
      <c r="AQ18" s="217"/>
      <c r="AS18" s="225"/>
      <c r="AU18" s="543" t="s">
        <v>3466</v>
      </c>
      <c r="AV18" s="543" t="s">
        <v>32</v>
      </c>
      <c r="AW18" s="543" cm="1">
        <f t="array" aca="1" ref="AW18" ca="1">INDIRECT("'R'!R2C"&amp;MATCH(AV18,'R'!$1:$1,0),FALSE)</f>
        <v>0</v>
      </c>
      <c r="AY18" s="180"/>
      <c r="AZ18" s="179"/>
      <c r="BA18" s="177"/>
      <c r="BB18" s="177"/>
      <c r="BC18" s="177"/>
      <c r="BD18" s="177"/>
      <c r="BE18" s="177"/>
      <c r="BF18" s="178"/>
      <c r="BG18" s="178"/>
      <c r="BH18" s="177"/>
      <c r="BI18" s="176"/>
      <c r="BJ18" s="175"/>
      <c r="CI18" s="242" t="s">
        <v>3348</v>
      </c>
      <c r="CJ18" s="242">
        <v>17</v>
      </c>
      <c r="CK18" s="244"/>
      <c r="CL18" s="243">
        <v>44786</v>
      </c>
      <c r="CM18" s="242" t="s">
        <v>3203</v>
      </c>
      <c r="CN18" s="244"/>
      <c r="CO18" s="243">
        <v>44928</v>
      </c>
      <c r="CP18" s="242" t="s">
        <v>3202</v>
      </c>
    </row>
    <row r="19" spans="1:94">
      <c r="A19" s="907" t="s">
        <v>3347</v>
      </c>
      <c r="B19" s="907"/>
      <c r="C19" s="266" t="str">
        <f>物件種別</f>
        <v>新築</v>
      </c>
      <c r="D19" s="245" t="s">
        <v>3346</v>
      </c>
      <c r="E19" s="907" t="s">
        <v>3345</v>
      </c>
      <c r="F19" s="907"/>
      <c r="G19" s="908" t="str" cm="1">
        <f t="array" aca="1" ref="G19" ca="1">_xlfn.IFS(Class017=0,"無し",Class017=1,"有り")</f>
        <v>有り</v>
      </c>
      <c r="H19" s="908"/>
      <c r="I19" s="908"/>
      <c r="M19" s="168"/>
      <c r="N19" s="239" t="s">
        <v>3344</v>
      </c>
      <c r="O19" s="239"/>
      <c r="P19" s="239"/>
      <c r="Q19" s="168"/>
      <c r="R19" s="168"/>
      <c r="S19" s="168"/>
      <c r="T19" s="168"/>
      <c r="U19" s="168"/>
      <c r="V19" s="168"/>
      <c r="W19" s="168"/>
      <c r="X19" s="168"/>
      <c r="Y19" s="168"/>
      <c r="Z19" s="168"/>
      <c r="AA19" s="168"/>
      <c r="AB19" s="168"/>
      <c r="AC19" s="168"/>
      <c r="AD19" s="168"/>
      <c r="AE19" s="169"/>
      <c r="AG19" s="904" t="s">
        <v>3324</v>
      </c>
      <c r="AH19" s="904"/>
      <c r="AI19" s="260">
        <f ca="1">IF([R]名古屋宅造調書="有り",[R]名古屋宅造調書_日数,0)</f>
        <v>0</v>
      </c>
      <c r="AJ19" s="920"/>
      <c r="AM19" s="229"/>
      <c r="AO19" s="219">
        <v>44400</v>
      </c>
      <c r="AP19" s="254" t="s">
        <v>3343</v>
      </c>
      <c r="AQ19" s="217"/>
      <c r="AS19" s="225"/>
      <c r="AU19" s="543" t="s">
        <v>3355</v>
      </c>
      <c r="AV19" s="543" t="s">
        <v>33</v>
      </c>
      <c r="AW19" s="543" cm="1">
        <f t="array" aca="1" ref="AW19" ca="1">INDIRECT("'R'!R2C"&amp;MATCH(AV19,'R'!$1:$1,0),FALSE)</f>
        <v>0</v>
      </c>
      <c r="AY19" s="185"/>
      <c r="AZ19" s="184" t="s">
        <v>3342</v>
      </c>
      <c r="BA19" s="182" t="s">
        <v>3341</v>
      </c>
      <c r="BB19" s="182" t="s">
        <v>3313</v>
      </c>
      <c r="BC19" s="182"/>
      <c r="BD19" s="182"/>
      <c r="BE19" s="182" t="s">
        <v>3340</v>
      </c>
      <c r="BF19" s="183">
        <v>1</v>
      </c>
      <c r="BG19" s="183" t="s">
        <v>3206</v>
      </c>
      <c r="BH19" s="182" t="s">
        <v>3205</v>
      </c>
      <c r="BI19" s="181"/>
      <c r="BJ19" s="175"/>
      <c r="CI19" s="242"/>
      <c r="CJ19" s="242"/>
      <c r="CK19" s="244"/>
      <c r="CL19" s="243">
        <v>44787</v>
      </c>
      <c r="CM19" s="242" t="s">
        <v>3203</v>
      </c>
      <c r="CN19" s="244"/>
      <c r="CO19" s="243">
        <v>44929</v>
      </c>
      <c r="CP19" s="242" t="s">
        <v>3202</v>
      </c>
    </row>
    <row r="20" spans="1:94">
      <c r="A20" s="917" t="s">
        <v>3339</v>
      </c>
      <c r="B20" s="917"/>
      <c r="C20" s="545" t="str" cm="1">
        <f t="array" aca="1" ref="C20" ca="1">_xlfn.IFS(
Class013=0,"長期優良",
Class013=1,"性能評価",
Class013=2,"低炭素",
Class013=3,"長期優良・低炭素・性能評価無し"
)</f>
        <v>長期優良</v>
      </c>
      <c r="D20" s="228"/>
      <c r="E20" s="247"/>
      <c r="F20" s="247"/>
      <c r="M20" s="168"/>
      <c r="N20" s="168"/>
      <c r="O20" s="239"/>
      <c r="P20" s="239"/>
      <c r="Q20" s="168"/>
      <c r="R20" s="168"/>
      <c r="S20" s="168"/>
      <c r="T20" s="168"/>
      <c r="U20" s="168"/>
      <c r="V20" s="168"/>
      <c r="W20" s="168"/>
      <c r="X20" s="168"/>
      <c r="Y20" s="168"/>
      <c r="Z20" s="168"/>
      <c r="AA20" s="168"/>
      <c r="AB20" s="168"/>
      <c r="AC20" s="168"/>
      <c r="AD20" s="168"/>
      <c r="AE20" s="169"/>
      <c r="AG20" s="904" t="s">
        <v>3321</v>
      </c>
      <c r="AH20" s="904"/>
      <c r="AI20" s="260">
        <f ca="1">IF([R]日進小規模="有り",[R]日進小規模_日数,0)</f>
        <v>0</v>
      </c>
      <c r="AJ20" s="920"/>
      <c r="AM20" s="229"/>
      <c r="AN20" s="168"/>
      <c r="AO20" s="219">
        <v>44416</v>
      </c>
      <c r="AP20" s="254" t="s">
        <v>3338</v>
      </c>
      <c r="AQ20" s="217"/>
      <c r="AS20" s="225"/>
      <c r="AU20" s="543" t="s">
        <v>3350</v>
      </c>
      <c r="AV20" s="543" t="s">
        <v>34</v>
      </c>
      <c r="AW20" s="543" cm="1">
        <f t="array" aca="1" ref="AW20" ca="1">INDIRECT("'R'!R2C"&amp;MATCH(AV20,'R'!$1:$1,0),FALSE)</f>
        <v>0</v>
      </c>
      <c r="AY20" s="185"/>
      <c r="AZ20" s="184"/>
      <c r="BA20" s="182"/>
      <c r="BB20" s="182" t="s">
        <v>3337</v>
      </c>
      <c r="BC20" s="182"/>
      <c r="BD20" s="182"/>
      <c r="BE20" s="264" t="s">
        <v>3226</v>
      </c>
      <c r="BF20" s="265" t="s">
        <v>3226</v>
      </c>
      <c r="BG20" s="265" t="s">
        <v>3226</v>
      </c>
      <c r="BH20" s="264" t="s">
        <v>3226</v>
      </c>
      <c r="BI20" s="263" t="s">
        <v>3225</v>
      </c>
      <c r="BJ20" s="175"/>
      <c r="CI20" s="242"/>
      <c r="CJ20" s="242"/>
      <c r="CK20" s="244"/>
      <c r="CL20" s="243">
        <v>44788</v>
      </c>
      <c r="CM20" s="242" t="s">
        <v>3203</v>
      </c>
      <c r="CN20" s="244"/>
      <c r="CO20" s="243">
        <v>44930</v>
      </c>
      <c r="CP20" s="242" t="s">
        <v>3202</v>
      </c>
    </row>
    <row r="21" spans="1:94" ht="19.5">
      <c r="A21" s="917" t="s">
        <v>3336</v>
      </c>
      <c r="B21" s="917"/>
      <c r="C21" s="262" t="str" cm="1">
        <f t="array" aca="1" ref="C21" ca="1">_xlfn.IFS(Class014=0,"無し",Class014=1,"有り")</f>
        <v>無し</v>
      </c>
      <c r="D21" s="245">
        <v>14</v>
      </c>
      <c r="E21" s="247"/>
      <c r="F21" s="247"/>
      <c r="M21" s="901" t="s">
        <v>3335</v>
      </c>
      <c r="N21" s="902"/>
      <c r="O21" s="903"/>
      <c r="P21" s="239"/>
      <c r="Q21" s="168"/>
      <c r="R21" s="168"/>
      <c r="S21" s="168"/>
      <c r="T21" s="168"/>
      <c r="U21" s="168"/>
      <c r="V21" s="168"/>
      <c r="W21" s="168"/>
      <c r="X21" s="168"/>
      <c r="Y21" s="168"/>
      <c r="Z21" s="168"/>
      <c r="AA21" s="168"/>
      <c r="AB21" s="168"/>
      <c r="AC21" s="168"/>
      <c r="AD21" s="168"/>
      <c r="AE21" s="169"/>
      <c r="AG21" s="904" t="s">
        <v>3316</v>
      </c>
      <c r="AH21" s="904"/>
      <c r="AI21" s="260">
        <f ca="1">IF([R]建上地_杉並区="有り",[R]建上地_杉並区_日数,0)</f>
        <v>0</v>
      </c>
      <c r="AJ21" s="920"/>
      <c r="AM21" s="229"/>
      <c r="AO21" s="219">
        <v>44417</v>
      </c>
      <c r="AP21" s="169" t="s">
        <v>3334</v>
      </c>
      <c r="AQ21" s="217"/>
      <c r="AS21" s="225"/>
      <c r="AU21" s="543" t="s">
        <v>3345</v>
      </c>
      <c r="AV21" s="543" t="s">
        <v>35</v>
      </c>
      <c r="AW21" s="543" cm="1">
        <f t="array" aca="1" ref="AW21" ca="1">INDIRECT("'R'!R2C"&amp;MATCH(AV21,'R'!$1:$1,0),FALSE)</f>
        <v>1</v>
      </c>
      <c r="AY21" s="180"/>
      <c r="AZ21" s="179"/>
      <c r="BA21" s="177"/>
      <c r="BB21" s="177"/>
      <c r="BC21" s="177"/>
      <c r="BD21" s="177"/>
      <c r="BE21" s="177"/>
      <c r="BF21" s="178"/>
      <c r="BG21" s="178"/>
      <c r="BH21" s="177"/>
      <c r="BI21" s="176"/>
      <c r="BJ21" s="175"/>
      <c r="CI21" s="242"/>
      <c r="CJ21" s="242"/>
      <c r="CK21" s="244"/>
      <c r="CL21" s="243">
        <v>44789</v>
      </c>
      <c r="CM21" s="242" t="s">
        <v>3203</v>
      </c>
      <c r="CN21" s="244"/>
      <c r="CO21" s="243">
        <v>44931</v>
      </c>
      <c r="CP21" s="242" t="s">
        <v>3202</v>
      </c>
    </row>
    <row r="22" spans="1:94">
      <c r="A22" s="247"/>
      <c r="B22" s="247"/>
      <c r="D22" s="228"/>
      <c r="E22" s="247"/>
      <c r="F22" s="247"/>
      <c r="M22" s="168"/>
      <c r="N22" s="168"/>
      <c r="O22" s="168"/>
      <c r="P22" s="168"/>
      <c r="Q22" s="168"/>
      <c r="R22" s="168"/>
      <c r="S22" s="168"/>
      <c r="T22" s="168"/>
      <c r="U22" s="168"/>
      <c r="V22" s="168"/>
      <c r="W22" s="168"/>
      <c r="X22" s="168"/>
      <c r="Y22" s="168"/>
      <c r="Z22" s="168"/>
      <c r="AA22" s="168"/>
      <c r="AB22" s="168"/>
      <c r="AC22" s="168"/>
      <c r="AD22" s="168"/>
      <c r="AE22" s="169"/>
      <c r="AG22" s="904" t="s">
        <v>3309</v>
      </c>
      <c r="AH22" s="904"/>
      <c r="AI22" s="260">
        <f ca="1">IF([R]建上地_武蔵野市="有り",[R]建上地_武蔵野市_日数,0)</f>
        <v>0</v>
      </c>
      <c r="AJ22" s="920"/>
      <c r="AM22" s="229"/>
      <c r="AO22" s="219">
        <v>44421</v>
      </c>
      <c r="AP22" s="169" t="s">
        <v>3247</v>
      </c>
      <c r="AQ22" s="217"/>
      <c r="AS22" s="225"/>
      <c r="AU22" s="543" t="s">
        <v>3664</v>
      </c>
      <c r="AV22" s="543" t="s">
        <v>36</v>
      </c>
      <c r="AW22" s="543" cm="1">
        <f t="array" aca="1" ref="AW22" ca="1">INDIRECT("'R'!R2C"&amp;MATCH(AV22,'R'!$1:$1,0),FALSE)</f>
        <v>0</v>
      </c>
      <c r="AY22" s="185"/>
      <c r="AZ22" s="184" t="s">
        <v>3333</v>
      </c>
      <c r="BA22" s="182" t="s">
        <v>3234</v>
      </c>
      <c r="BB22" s="207" t="s">
        <v>3318</v>
      </c>
      <c r="BC22" s="207"/>
      <c r="BD22" s="207"/>
      <c r="BE22" s="207" t="s">
        <v>3245</v>
      </c>
      <c r="BF22" s="208">
        <v>35</v>
      </c>
      <c r="BG22" s="208" t="s">
        <v>3206</v>
      </c>
      <c r="BH22" s="207" t="s">
        <v>3205</v>
      </c>
      <c r="BI22" s="206"/>
      <c r="BJ22" s="175"/>
      <c r="CI22" s="242"/>
      <c r="CJ22" s="242"/>
      <c r="CK22" s="244"/>
      <c r="CL22" s="243">
        <v>44823</v>
      </c>
      <c r="CM22" s="242" t="s">
        <v>3189</v>
      </c>
      <c r="CN22" s="244"/>
      <c r="CO22" s="243">
        <v>45151</v>
      </c>
      <c r="CP22" s="242" t="s">
        <v>3203</v>
      </c>
    </row>
    <row r="23" spans="1:94">
      <c r="A23" s="917" t="s">
        <v>3332</v>
      </c>
      <c r="B23" s="917"/>
      <c r="D23" s="228" t="s">
        <v>3330</v>
      </c>
      <c r="E23" s="917" t="s">
        <v>3331</v>
      </c>
      <c r="F23" s="917"/>
      <c r="J23" s="909" t="s">
        <v>3330</v>
      </c>
      <c r="K23" s="909"/>
      <c r="M23" s="168"/>
      <c r="N23" s="239" t="s">
        <v>3329</v>
      </c>
      <c r="O23" s="239"/>
      <c r="P23" s="239"/>
      <c r="Q23" s="168"/>
      <c r="R23" s="168"/>
      <c r="S23" s="168"/>
      <c r="T23" s="168"/>
      <c r="U23" s="168"/>
      <c r="V23" s="168"/>
      <c r="W23" s="168"/>
      <c r="X23" s="168"/>
      <c r="Y23" s="168"/>
      <c r="Z23" s="168"/>
      <c r="AA23" s="168"/>
      <c r="AB23" s="168"/>
      <c r="AC23" s="168"/>
      <c r="AD23" s="168"/>
      <c r="AE23" s="169"/>
      <c r="AG23" s="904" t="s">
        <v>3303</v>
      </c>
      <c r="AH23" s="904"/>
      <c r="AI23" s="260">
        <f ca="1">IF([R]建上地_三鷹市="有り",[R]建上地_三鷹市_日数,0)</f>
        <v>0</v>
      </c>
      <c r="AJ23" s="920"/>
      <c r="AM23" s="229"/>
      <c r="AO23" s="219">
        <v>44422</v>
      </c>
      <c r="AP23" s="169" t="s">
        <v>3247</v>
      </c>
      <c r="AQ23" s="217"/>
      <c r="AS23" s="225"/>
      <c r="AU23" s="543" t="s">
        <v>3332</v>
      </c>
      <c r="AV23" s="543" t="s">
        <v>37</v>
      </c>
      <c r="AW23" s="543" cm="1">
        <f t="array" aca="1" ref="AW23" ca="1">INDIRECT("'R'!R2C"&amp;MATCH(AV23,'R'!$1:$1,0),FALSE)</f>
        <v>0</v>
      </c>
      <c r="AY23" s="185"/>
      <c r="AZ23" s="184"/>
      <c r="BA23" s="182"/>
      <c r="BB23" s="182" t="s">
        <v>3313</v>
      </c>
      <c r="BC23" s="182"/>
      <c r="BD23" s="182"/>
      <c r="BE23" s="190" t="s">
        <v>3305</v>
      </c>
      <c r="BF23" s="191">
        <v>1</v>
      </c>
      <c r="BG23" s="191" t="s">
        <v>3206</v>
      </c>
      <c r="BH23" s="190" t="s">
        <v>3205</v>
      </c>
      <c r="BI23" s="910" t="s">
        <v>3208</v>
      </c>
      <c r="BJ23" s="175"/>
      <c r="CI23" s="242"/>
      <c r="CJ23" s="242"/>
      <c r="CK23" s="244"/>
      <c r="CL23" s="243">
        <v>44827</v>
      </c>
      <c r="CM23" s="242" t="s">
        <v>3187</v>
      </c>
      <c r="CN23" s="244"/>
      <c r="CO23" s="243">
        <v>45152</v>
      </c>
      <c r="CP23" s="242" t="s">
        <v>3203</v>
      </c>
    </row>
    <row r="24" spans="1:94" ht="19.5">
      <c r="A24" s="907" t="s">
        <v>3328</v>
      </c>
      <c r="B24" s="907"/>
      <c r="C24" s="262" t="str" cm="1">
        <f t="array" aca="1" ref="C24" ca="1">_xlfn.IFS(Class018=0,"無し",Class018=1,"有り(14日)",Class018=2,"有り(30日)")</f>
        <v>無し</v>
      </c>
      <c r="D24" s="245">
        <f ca="1">IF([R]狭あい="有り(14日)",14,30)</f>
        <v>30</v>
      </c>
      <c r="E24" s="907" t="s">
        <v>3327</v>
      </c>
      <c r="F24" s="907"/>
      <c r="G24" s="908" t="str" cm="1">
        <f t="array" aca="1" ref="G24" ca="1">_xlfn.IFS(Class042=0,"無し",Class042=1,"有り")</f>
        <v>無し</v>
      </c>
      <c r="H24" s="908"/>
      <c r="I24" s="908"/>
      <c r="J24" s="912">
        <v>5</v>
      </c>
      <c r="K24" s="913"/>
      <c r="L24" s="253"/>
      <c r="M24" s="168"/>
      <c r="N24" s="239" t="s">
        <v>3326</v>
      </c>
      <c r="O24" s="239"/>
      <c r="P24" s="239"/>
      <c r="Q24" s="168"/>
      <c r="R24" s="168"/>
      <c r="S24" s="168"/>
      <c r="T24" s="168"/>
      <c r="U24" s="168"/>
      <c r="V24" s="168"/>
      <c r="W24" s="168"/>
      <c r="X24" s="168"/>
      <c r="Y24" s="168"/>
      <c r="Z24" s="168"/>
      <c r="AA24" s="168"/>
      <c r="AB24" s="168"/>
      <c r="AC24" s="168"/>
      <c r="AD24" s="168"/>
      <c r="AE24" s="169"/>
      <c r="AG24" s="854" t="s">
        <v>3290</v>
      </c>
      <c r="AH24" s="855"/>
      <c r="AI24" s="260">
        <f ca="1">[R]建築許可日数</f>
        <v>0</v>
      </c>
      <c r="AJ24" s="920"/>
      <c r="AM24" s="229"/>
      <c r="AO24" s="219">
        <v>44423</v>
      </c>
      <c r="AP24" s="169" t="s">
        <v>3247</v>
      </c>
      <c r="AQ24" s="217"/>
      <c r="AS24" s="225"/>
      <c r="AU24" s="543" t="s">
        <v>3325</v>
      </c>
      <c r="AV24" s="543" t="s">
        <v>49</v>
      </c>
      <c r="AW24" s="543" cm="1">
        <f t="array" aca="1" ref="AW24" ca="1">INDIRECT("'R'!R2C"&amp;MATCH(AV24,'R'!$1:$1,0),FALSE)</f>
        <v>0</v>
      </c>
      <c r="AY24" s="185"/>
      <c r="AZ24" s="184"/>
      <c r="BA24" s="182"/>
      <c r="BB24" s="182"/>
      <c r="BC24" s="182"/>
      <c r="BD24" s="182"/>
      <c r="BE24" s="186" t="s">
        <v>3245</v>
      </c>
      <c r="BF24" s="187">
        <v>35</v>
      </c>
      <c r="BG24" s="187" t="s">
        <v>3206</v>
      </c>
      <c r="BH24" s="186" t="s">
        <v>3205</v>
      </c>
      <c r="BI24" s="911"/>
      <c r="BJ24" s="175"/>
      <c r="CI24" s="242"/>
      <c r="CJ24" s="242"/>
      <c r="CK24" s="244"/>
      <c r="CL24" s="243">
        <v>44844</v>
      </c>
      <c r="CM24" s="242" t="s">
        <v>3186</v>
      </c>
      <c r="CN24" s="244"/>
      <c r="CO24" s="243">
        <v>45153</v>
      </c>
      <c r="CP24" s="242" t="s">
        <v>3203</v>
      </c>
    </row>
    <row r="25" spans="1:94">
      <c r="A25" s="907" t="s">
        <v>3325</v>
      </c>
      <c r="B25" s="907"/>
      <c r="C25" s="261" t="str" cm="1">
        <f t="array" aca="1" ref="C25" ca="1">_xlfn.IFS(Class031=0,"無し",Class031=1,"有り")</f>
        <v>無し</v>
      </c>
      <c r="D25" s="245">
        <v>10</v>
      </c>
      <c r="E25" s="907" t="s">
        <v>3324</v>
      </c>
      <c r="F25" s="907"/>
      <c r="G25" s="923" t="str" cm="1">
        <f t="array" aca="1" ref="G25" ca="1">_xlfn.IFS(Class043=0,"無し",Class043=1,"有り")</f>
        <v>無し</v>
      </c>
      <c r="H25" s="923"/>
      <c r="I25" s="923"/>
      <c r="J25" s="912">
        <v>10</v>
      </c>
      <c r="K25" s="913"/>
      <c r="L25" s="253"/>
      <c r="M25" s="168"/>
      <c r="N25" s="239" t="s">
        <v>3323</v>
      </c>
      <c r="O25" s="239"/>
      <c r="P25" s="239"/>
      <c r="Q25" s="168"/>
      <c r="R25" s="168"/>
      <c r="S25" s="168"/>
      <c r="T25" s="168"/>
      <c r="U25" s="168"/>
      <c r="V25" s="168"/>
      <c r="W25" s="168"/>
      <c r="X25" s="168"/>
      <c r="Y25" s="168"/>
      <c r="Z25" s="168"/>
      <c r="AA25" s="168"/>
      <c r="AB25" s="168"/>
      <c r="AC25" s="168"/>
      <c r="AD25" s="168"/>
      <c r="AE25" s="169"/>
      <c r="AG25" s="854" t="s">
        <v>3295</v>
      </c>
      <c r="AH25" s="855"/>
      <c r="AI25" s="260">
        <f ca="1">IF([R]緑化計画="有り",[R]緑化計画_日数,0)</f>
        <v>0</v>
      </c>
      <c r="AJ25" s="920"/>
      <c r="AM25" s="229"/>
      <c r="AO25" s="219">
        <v>44424</v>
      </c>
      <c r="AP25" s="169" t="s">
        <v>3247</v>
      </c>
      <c r="AQ25" s="217"/>
      <c r="AS25" s="225"/>
      <c r="AU25" s="543" t="s">
        <v>3322</v>
      </c>
      <c r="AV25" s="543" t="s">
        <v>50</v>
      </c>
      <c r="AW25" s="543" cm="1">
        <f t="array" aca="1" ref="AW25" ca="1">INDIRECT("'R'!R2C"&amp;MATCH(AV25,'R'!$1:$1,0),FALSE)</f>
        <v>0</v>
      </c>
      <c r="AY25" s="185"/>
      <c r="AZ25" s="184"/>
      <c r="BA25" s="177"/>
      <c r="BB25" s="177"/>
      <c r="BC25" s="177"/>
      <c r="BD25" s="177"/>
      <c r="BE25" s="177"/>
      <c r="BF25" s="178"/>
      <c r="BG25" s="178"/>
      <c r="BH25" s="177"/>
      <c r="BI25" s="176"/>
      <c r="BJ25" s="175"/>
      <c r="CI25" s="242"/>
      <c r="CJ25" s="242"/>
      <c r="CK25" s="244"/>
      <c r="CL25" s="243">
        <v>44868</v>
      </c>
      <c r="CM25" s="242" t="s">
        <v>3185</v>
      </c>
      <c r="CN25" s="244"/>
      <c r="CO25" s="243">
        <v>45154</v>
      </c>
      <c r="CP25" s="242" t="s">
        <v>3203</v>
      </c>
    </row>
    <row r="26" spans="1:94">
      <c r="A26" s="907" t="s">
        <v>3322</v>
      </c>
      <c r="B26" s="907"/>
      <c r="C26" s="246" t="str" cm="1">
        <f t="array" aca="1" ref="C26" ca="1">_xlfn.IFS(Class032=0,"無し",Class032=1,"有り")</f>
        <v>無し</v>
      </c>
      <c r="D26" s="245">
        <v>14</v>
      </c>
      <c r="E26" s="907" t="s">
        <v>3321</v>
      </c>
      <c r="F26" s="907"/>
      <c r="G26" s="908" t="str" cm="1">
        <f t="array" aca="1" ref="G26" ca="1">_xlfn.IFS(Class044=0,"無し",Class044=1,"有り")</f>
        <v>無し</v>
      </c>
      <c r="H26" s="908"/>
      <c r="I26" s="908"/>
      <c r="J26" s="912">
        <v>10</v>
      </c>
      <c r="K26" s="913"/>
      <c r="L26" s="253"/>
      <c r="M26" s="168"/>
      <c r="N26" s="239" t="s">
        <v>3320</v>
      </c>
      <c r="O26" s="239"/>
      <c r="P26" s="239"/>
      <c r="Q26" s="239"/>
      <c r="R26" s="168"/>
      <c r="S26" s="168"/>
      <c r="T26" s="168"/>
      <c r="U26" s="168"/>
      <c r="V26" s="168"/>
      <c r="W26" s="168"/>
      <c r="X26" s="168"/>
      <c r="Y26" s="168"/>
      <c r="Z26" s="168"/>
      <c r="AA26" s="168"/>
      <c r="AB26" s="168"/>
      <c r="AC26" s="168"/>
      <c r="AD26" s="168"/>
      <c r="AE26" s="169"/>
      <c r="AG26" s="854" t="s">
        <v>3292</v>
      </c>
      <c r="AH26" s="855"/>
      <c r="AI26" s="260">
        <f ca="1">IF([R]天空率="有り",[R]天空率_日数,0)</f>
        <v>0</v>
      </c>
      <c r="AJ26" s="921"/>
      <c r="AM26" s="229"/>
      <c r="AO26" s="219">
        <v>44459</v>
      </c>
      <c r="AP26" s="254" t="s">
        <v>3319</v>
      </c>
      <c r="AQ26" s="217"/>
      <c r="AS26" s="225"/>
      <c r="AU26" s="543" t="s">
        <v>3317</v>
      </c>
      <c r="AV26" s="543" t="s">
        <v>3641</v>
      </c>
      <c r="AW26" s="543" cm="1">
        <f t="array" aca="1" ref="AW26" ca="1">INDIRECT("'R'!R2C"&amp;MATCH(AV26,'R'!$1:$1,0),FALSE)</f>
        <v>0</v>
      </c>
      <c r="AY26" s="185"/>
      <c r="AZ26" s="184"/>
      <c r="BA26" s="182" t="s">
        <v>3233</v>
      </c>
      <c r="BB26" s="207" t="s">
        <v>3318</v>
      </c>
      <c r="BC26" s="207" t="s">
        <v>3264</v>
      </c>
      <c r="BD26" s="207"/>
      <c r="BE26" s="207" t="s">
        <v>3245</v>
      </c>
      <c r="BF26" s="208">
        <v>10</v>
      </c>
      <c r="BG26" s="208" t="s">
        <v>3206</v>
      </c>
      <c r="BH26" s="207" t="s">
        <v>3205</v>
      </c>
      <c r="BI26" s="206"/>
      <c r="BJ26" s="175" t="s">
        <v>3311</v>
      </c>
      <c r="CI26" s="242"/>
      <c r="CJ26" s="242"/>
      <c r="CK26" s="244"/>
      <c r="CL26" s="243">
        <v>44888</v>
      </c>
      <c r="CM26" s="242" t="s">
        <v>3184</v>
      </c>
      <c r="CN26" s="244"/>
      <c r="CO26" s="243">
        <v>45289</v>
      </c>
      <c r="CP26" s="242" t="s">
        <v>3202</v>
      </c>
    </row>
    <row r="27" spans="1:94">
      <c r="A27" s="247"/>
      <c r="B27" s="247"/>
      <c r="D27" s="245"/>
      <c r="E27" s="247"/>
      <c r="F27" s="247"/>
      <c r="J27" s="245"/>
      <c r="K27" s="245"/>
      <c r="L27" s="253"/>
      <c r="M27" s="168"/>
      <c r="N27" s="239"/>
      <c r="O27" s="239"/>
      <c r="P27" s="239"/>
      <c r="Q27" s="239"/>
      <c r="R27" s="168"/>
      <c r="S27" s="168"/>
      <c r="T27" s="168"/>
      <c r="U27" s="168"/>
      <c r="V27" s="168"/>
      <c r="W27" s="168"/>
      <c r="X27" s="168"/>
      <c r="Y27" s="168"/>
      <c r="Z27" s="168"/>
      <c r="AA27" s="168"/>
      <c r="AB27" s="168"/>
      <c r="AC27" s="168"/>
      <c r="AD27" s="168"/>
      <c r="AE27" s="169"/>
      <c r="AG27" s="258"/>
      <c r="AH27" s="258"/>
      <c r="AI27" s="258"/>
      <c r="AJ27" s="168"/>
      <c r="AM27" s="229"/>
      <c r="AO27" s="219"/>
      <c r="AP27" s="254"/>
      <c r="AQ27" s="217"/>
      <c r="AS27" s="225"/>
      <c r="AU27" s="543" t="s">
        <v>3310</v>
      </c>
      <c r="AV27" s="543" t="s">
        <v>51</v>
      </c>
      <c r="AW27" s="543" cm="1">
        <f t="array" aca="1" ref="AW27" ca="1">INDIRECT("'R'!R2C"&amp;MATCH(AV27,'R'!$1:$1,0),FALSE)</f>
        <v>0</v>
      </c>
      <c r="AY27" s="185"/>
      <c r="AZ27" s="184"/>
      <c r="BA27" s="182"/>
      <c r="BB27" s="182"/>
      <c r="BC27" s="207" t="s">
        <v>3268</v>
      </c>
      <c r="BD27" s="207"/>
      <c r="BE27" s="207" t="s">
        <v>3245</v>
      </c>
      <c r="BF27" s="208">
        <v>28</v>
      </c>
      <c r="BG27" s="208" t="s">
        <v>3206</v>
      </c>
      <c r="BH27" s="207" t="s">
        <v>3205</v>
      </c>
      <c r="BI27" s="206"/>
      <c r="BJ27" s="175" t="s">
        <v>3311</v>
      </c>
      <c r="CI27" s="242"/>
      <c r="CJ27" s="242"/>
      <c r="CK27" s="244"/>
      <c r="CL27" s="243">
        <v>44924</v>
      </c>
      <c r="CM27" s="242" t="s">
        <v>3202</v>
      </c>
      <c r="CN27" s="244"/>
      <c r="CO27" s="243">
        <v>45290</v>
      </c>
      <c r="CP27" s="242" t="s">
        <v>3202</v>
      </c>
    </row>
    <row r="28" spans="1:94">
      <c r="A28" s="907" t="s">
        <v>3317</v>
      </c>
      <c r="B28" s="907"/>
      <c r="C28" s="246" t="str" cm="1">
        <f t="array" aca="1" ref="C28" ca="1">_xlfn.IFS(Class033=0,"無し",Class033=1,"有り")</f>
        <v>無し</v>
      </c>
      <c r="D28" s="245">
        <v>20</v>
      </c>
      <c r="E28" s="907" t="s">
        <v>3316</v>
      </c>
      <c r="F28" s="907"/>
      <c r="G28" s="908" t="str" cm="1">
        <f t="array" aca="1" ref="G28" ca="1">_xlfn.IFS(Class045=0,"無し",Class045=1,"有り")</f>
        <v>無し</v>
      </c>
      <c r="H28" s="908"/>
      <c r="I28" s="908"/>
      <c r="J28" s="912">
        <v>7</v>
      </c>
      <c r="K28" s="913"/>
      <c r="L28" s="253"/>
      <c r="M28" s="168"/>
      <c r="N28" s="239" t="s">
        <v>3315</v>
      </c>
      <c r="O28" s="239"/>
      <c r="P28" s="168"/>
      <c r="Q28" s="239"/>
      <c r="R28" s="168"/>
      <c r="S28" s="168"/>
      <c r="T28" s="168"/>
      <c r="U28" s="168"/>
      <c r="V28" s="168"/>
      <c r="W28" s="168"/>
      <c r="X28" s="168"/>
      <c r="Y28" s="168"/>
      <c r="Z28" s="168"/>
      <c r="AA28" s="168"/>
      <c r="AB28" s="168"/>
      <c r="AC28" s="168"/>
      <c r="AD28" s="168"/>
      <c r="AE28" s="169"/>
      <c r="AI28" s="258"/>
      <c r="AJ28" s="258"/>
      <c r="AM28" s="229"/>
      <c r="AO28" s="219">
        <v>44462</v>
      </c>
      <c r="AP28" s="254" t="s">
        <v>3314</v>
      </c>
      <c r="AQ28" s="217"/>
      <c r="AS28" s="225"/>
      <c r="AU28" s="543" t="s">
        <v>3304</v>
      </c>
      <c r="AV28" s="543" t="s">
        <v>52</v>
      </c>
      <c r="AW28" s="543" cm="1">
        <f t="array" aca="1" ref="AW28" ca="1">INDIRECT("'R'!R2C"&amp;MATCH(AV28,'R'!$1:$1,0),FALSE)</f>
        <v>0</v>
      </c>
      <c r="AY28" s="185"/>
      <c r="AZ28" s="184"/>
      <c r="BA28" s="182"/>
      <c r="BB28" s="177" t="s">
        <v>3313</v>
      </c>
      <c r="BC28" s="207" t="s">
        <v>3264</v>
      </c>
      <c r="BD28" s="207"/>
      <c r="BE28" s="207" t="s">
        <v>3305</v>
      </c>
      <c r="BF28" s="208">
        <v>1</v>
      </c>
      <c r="BG28" s="208" t="s">
        <v>3206</v>
      </c>
      <c r="BH28" s="207" t="s">
        <v>3205</v>
      </c>
      <c r="BI28" s="206"/>
      <c r="BJ28" s="175" t="s">
        <v>3311</v>
      </c>
      <c r="CI28" s="242"/>
      <c r="CJ28" s="242"/>
      <c r="CK28" s="244"/>
      <c r="CL28" s="243">
        <v>44925</v>
      </c>
      <c r="CM28" s="242" t="s">
        <v>3202</v>
      </c>
      <c r="CN28" s="244"/>
      <c r="CO28" s="243">
        <v>45291</v>
      </c>
      <c r="CP28" s="242" t="s">
        <v>3202</v>
      </c>
    </row>
    <row r="29" spans="1:94" ht="18.75" thickBot="1">
      <c r="A29" s="247"/>
      <c r="B29" s="247"/>
      <c r="D29" s="245"/>
      <c r="E29" s="247"/>
      <c r="F29" s="247"/>
      <c r="J29" s="245"/>
      <c r="K29" s="245"/>
      <c r="L29" s="253"/>
      <c r="M29" s="168"/>
      <c r="N29" s="239"/>
      <c r="O29" s="239"/>
      <c r="P29" s="168"/>
      <c r="Q29" s="239"/>
      <c r="R29" s="168"/>
      <c r="S29" s="168"/>
      <c r="T29" s="168"/>
      <c r="U29" s="168"/>
      <c r="V29" s="168"/>
      <c r="W29" s="168"/>
      <c r="X29" s="168"/>
      <c r="Y29" s="168"/>
      <c r="Z29" s="168"/>
      <c r="AA29" s="168"/>
      <c r="AB29" s="168"/>
      <c r="AC29" s="168"/>
      <c r="AD29" s="168"/>
      <c r="AE29" s="169"/>
      <c r="AI29" s="258"/>
      <c r="AJ29" s="258"/>
      <c r="AM29" s="229"/>
      <c r="AO29" s="219"/>
      <c r="AP29" s="254"/>
      <c r="AQ29" s="217"/>
      <c r="AS29" s="225"/>
      <c r="AU29" s="543" t="s">
        <v>3299</v>
      </c>
      <c r="AV29" s="543" t="s">
        <v>53</v>
      </c>
      <c r="AW29" s="543" cm="1">
        <f t="array" aca="1" ref="AW29" ca="1">INDIRECT("'R'!R2C"&amp;MATCH(AV29,'R'!$1:$1,0),FALSE)</f>
        <v>0</v>
      </c>
      <c r="AY29" s="185"/>
      <c r="AZ29" s="184"/>
      <c r="BA29" s="182"/>
      <c r="BB29" s="189"/>
      <c r="BC29" s="182" t="s">
        <v>3312</v>
      </c>
      <c r="BD29" s="175"/>
      <c r="BE29" s="207" t="s">
        <v>3245</v>
      </c>
      <c r="BF29" s="178">
        <v>28</v>
      </c>
      <c r="BG29" s="178" t="s">
        <v>3206</v>
      </c>
      <c r="BH29" s="177" t="s">
        <v>3205</v>
      </c>
      <c r="BI29" s="910" t="s">
        <v>3208</v>
      </c>
      <c r="BJ29" s="175" t="s">
        <v>3311</v>
      </c>
      <c r="CI29" s="242"/>
      <c r="CJ29" s="242"/>
      <c r="CK29" s="244"/>
      <c r="CL29" s="243">
        <v>44926</v>
      </c>
      <c r="CM29" s="242" t="s">
        <v>3202</v>
      </c>
      <c r="CN29" s="244"/>
      <c r="CO29" s="243">
        <v>45292</v>
      </c>
      <c r="CP29" s="242" t="s">
        <v>3202</v>
      </c>
    </row>
    <row r="30" spans="1:94" ht="18.75" thickBot="1">
      <c r="A30" s="907" t="s">
        <v>3310</v>
      </c>
      <c r="B30" s="907"/>
      <c r="C30" s="246" t="str" cm="1">
        <f t="array" aca="1" ref="C30" ca="1">_xlfn.IFS(Class034=0,"無し",Class034=1,"有り")</f>
        <v>無し</v>
      </c>
      <c r="D30" s="245">
        <v>30</v>
      </c>
      <c r="E30" s="907" t="s">
        <v>3309</v>
      </c>
      <c r="F30" s="907"/>
      <c r="G30" s="908" t="str" cm="1">
        <f t="array" aca="1" ref="G30" ca="1">_xlfn.IFS(Class046=0,"無し",Class046=1,"有り")</f>
        <v>無し</v>
      </c>
      <c r="H30" s="908"/>
      <c r="I30" s="908"/>
      <c r="J30" s="912">
        <v>7</v>
      </c>
      <c r="K30" s="913"/>
      <c r="L30" s="253"/>
      <c r="M30" s="168"/>
      <c r="N30" s="239" t="s">
        <v>3308</v>
      </c>
      <c r="O30" s="239"/>
      <c r="P30" s="168"/>
      <c r="Q30" s="168"/>
      <c r="R30" s="168"/>
      <c r="S30" s="168"/>
      <c r="T30" s="168"/>
      <c r="U30" s="168"/>
      <c r="V30" s="168"/>
      <c r="W30" s="168"/>
      <c r="X30" s="168"/>
      <c r="Y30" s="168"/>
      <c r="Z30" s="168"/>
      <c r="AA30" s="168"/>
      <c r="AB30" s="168"/>
      <c r="AC30" s="168"/>
      <c r="AD30" s="168"/>
      <c r="AE30" s="169"/>
      <c r="AG30" s="854" t="s">
        <v>3307</v>
      </c>
      <c r="AH30" s="918"/>
      <c r="AI30" s="259">
        <f ca="1">IF(
    [R]埋蔵文化 = "有り",
    WORKDAY.INTL(
        [R]事前提出日,
        42,
        [R]土と日,
        [R]祝日テーブル[祝日]
    ),
    1
)</f>
        <v>1</v>
      </c>
      <c r="AJ30" s="258"/>
      <c r="AM30" s="229"/>
      <c r="AO30" s="219">
        <v>44503</v>
      </c>
      <c r="AP30" s="254" t="s">
        <v>3306</v>
      </c>
      <c r="AQ30" s="217"/>
      <c r="AS30" s="225"/>
      <c r="AU30" s="543" t="s">
        <v>3297</v>
      </c>
      <c r="AV30" s="543" t="s">
        <v>54</v>
      </c>
      <c r="AW30" s="543" cm="1">
        <f t="array" aca="1" ref="AW30" ca="1">INDIRECT("'R'!R2C"&amp;MATCH(AV30,'R'!$1:$1,0),FALSE)</f>
        <v>0</v>
      </c>
      <c r="AY30" s="180"/>
      <c r="AZ30" s="179"/>
      <c r="BA30" s="177"/>
      <c r="BB30" s="257"/>
      <c r="BC30" s="177"/>
      <c r="BD30" s="256"/>
      <c r="BE30" s="177" t="s">
        <v>3305</v>
      </c>
      <c r="BF30" s="178">
        <v>1</v>
      </c>
      <c r="BG30" s="178" t="s">
        <v>3206</v>
      </c>
      <c r="BH30" s="177" t="s">
        <v>3205</v>
      </c>
      <c r="BI30" s="911"/>
      <c r="BJ30" s="175"/>
      <c r="CI30" s="242"/>
      <c r="CJ30" s="242"/>
      <c r="CK30" s="244"/>
      <c r="CL30" s="243">
        <v>44927</v>
      </c>
      <c r="CM30" s="242" t="s">
        <v>3200</v>
      </c>
      <c r="CN30" s="244"/>
      <c r="CO30" s="243">
        <v>45293</v>
      </c>
      <c r="CP30" s="242" t="s">
        <v>3202</v>
      </c>
    </row>
    <row r="31" spans="1:94">
      <c r="A31" s="907" t="s">
        <v>3304</v>
      </c>
      <c r="B31" s="907"/>
      <c r="C31" s="255" t="str" cm="1">
        <f t="array" aca="1" ref="C31" ca="1">_xlfn.IFS(Class035=0,"無し",Class035=1,"有り")</f>
        <v>無し</v>
      </c>
      <c r="D31" s="245">
        <v>14</v>
      </c>
      <c r="E31" s="907" t="s">
        <v>3303</v>
      </c>
      <c r="F31" s="907"/>
      <c r="G31" s="908" t="str" cm="1">
        <f t="array" aca="1" ref="G31" ca="1">_xlfn.IFS(Class047=0,"無し",Class047=1,"有り")</f>
        <v>無し</v>
      </c>
      <c r="H31" s="908"/>
      <c r="I31" s="908"/>
      <c r="J31" s="912">
        <v>7</v>
      </c>
      <c r="K31" s="913"/>
      <c r="L31" s="253"/>
      <c r="M31" s="168"/>
      <c r="N31" s="239" t="s">
        <v>3302</v>
      </c>
      <c r="O31" s="239"/>
      <c r="P31" s="239"/>
      <c r="Q31" s="168"/>
      <c r="R31" s="168"/>
      <c r="S31" s="168"/>
      <c r="T31" s="168"/>
      <c r="U31" s="168"/>
      <c r="V31" s="168"/>
      <c r="W31" s="168"/>
      <c r="X31" s="168"/>
      <c r="Y31" s="168"/>
      <c r="Z31" s="168"/>
      <c r="AA31" s="168"/>
      <c r="AB31" s="168"/>
      <c r="AC31" s="168"/>
      <c r="AD31" s="168"/>
      <c r="AE31" s="169"/>
      <c r="AJ31" s="252"/>
      <c r="AM31" s="229"/>
      <c r="AO31" s="219">
        <v>44523</v>
      </c>
      <c r="AP31" s="254" t="s">
        <v>3301</v>
      </c>
      <c r="AQ31" s="217"/>
      <c r="AS31" s="225"/>
      <c r="AU31" s="543" t="s">
        <v>3295</v>
      </c>
      <c r="AV31" s="543" t="s">
        <v>55</v>
      </c>
      <c r="AW31" s="543" cm="1">
        <f t="array" aca="1" ref="AW31" ca="1">INDIRECT("'R'!R2C"&amp;MATCH(AV31,'R'!$1:$1,0),FALSE)</f>
        <v>0</v>
      </c>
      <c r="AY31" s="185"/>
      <c r="AZ31" s="184" t="s">
        <v>3300</v>
      </c>
      <c r="BA31" s="207" t="s">
        <v>3234</v>
      </c>
      <c r="BB31" s="207"/>
      <c r="BC31" s="207"/>
      <c r="BD31" s="207"/>
      <c r="BE31" s="207" t="s">
        <v>3230</v>
      </c>
      <c r="BF31" s="208">
        <v>22</v>
      </c>
      <c r="BG31" s="208" t="s">
        <v>3206</v>
      </c>
      <c r="BH31" s="207" t="s">
        <v>3205</v>
      </c>
      <c r="BI31" s="206"/>
      <c r="BJ31" s="175"/>
      <c r="CI31" s="242"/>
      <c r="CJ31" s="242"/>
      <c r="CK31" s="244"/>
      <c r="CL31" s="243">
        <v>44928</v>
      </c>
      <c r="CM31" s="242" t="s">
        <v>3201</v>
      </c>
      <c r="CN31" s="244"/>
      <c r="CO31" s="243">
        <v>45294</v>
      </c>
      <c r="CP31" s="242" t="s">
        <v>3202</v>
      </c>
    </row>
    <row r="32" spans="1:94">
      <c r="A32" s="907" t="s">
        <v>3299</v>
      </c>
      <c r="B32" s="907"/>
      <c r="C32" s="246" t="str" cm="1">
        <f t="array" aca="1" ref="C32" ca="1">_xlfn.IFS(Class036=0,"無し",Class036=1,"有り")</f>
        <v>無し</v>
      </c>
      <c r="D32" s="245">
        <v>20</v>
      </c>
      <c r="E32" s="906"/>
      <c r="F32" s="906"/>
      <c r="M32" s="168"/>
      <c r="N32" s="239" t="s">
        <v>3298</v>
      </c>
      <c r="O32" s="239"/>
      <c r="P32" s="239"/>
      <c r="Q32" s="168"/>
      <c r="R32" s="168"/>
      <c r="S32" s="168"/>
      <c r="T32" s="168"/>
      <c r="U32" s="168"/>
      <c r="V32" s="168"/>
      <c r="W32" s="168"/>
      <c r="X32" s="168"/>
      <c r="Y32" s="168"/>
      <c r="Z32" s="168"/>
      <c r="AA32" s="168"/>
      <c r="AB32" s="168"/>
      <c r="AC32" s="168"/>
      <c r="AD32" s="168"/>
      <c r="AE32" s="169"/>
      <c r="AH32" s="237"/>
      <c r="AJ32" s="252"/>
      <c r="AM32" s="229"/>
      <c r="AO32" s="219"/>
      <c r="AQ32" s="217"/>
      <c r="AS32" s="225"/>
      <c r="AU32" s="543" t="s">
        <v>3292</v>
      </c>
      <c r="AV32" s="543" t="s">
        <v>56</v>
      </c>
      <c r="AW32" s="543" cm="1">
        <f t="array" aca="1" ref="AW32" ca="1">INDIRECT("'R'!R2C"&amp;MATCH(AV32,'R'!$1:$1,0),FALSE)</f>
        <v>0</v>
      </c>
      <c r="AY32" s="185"/>
      <c r="AZ32" s="184"/>
      <c r="BA32" s="182" t="s">
        <v>3233</v>
      </c>
      <c r="BB32" s="182"/>
      <c r="BC32" s="182"/>
      <c r="BD32" s="182"/>
      <c r="BE32" s="182" t="s">
        <v>3230</v>
      </c>
      <c r="BF32" s="183">
        <v>10</v>
      </c>
      <c r="BG32" s="183" t="s">
        <v>3206</v>
      </c>
      <c r="BH32" s="182" t="s">
        <v>3205</v>
      </c>
      <c r="BI32" s="181"/>
      <c r="BJ32" s="175"/>
      <c r="CI32" s="242"/>
      <c r="CJ32" s="242"/>
      <c r="CK32" s="244"/>
      <c r="CL32" s="243">
        <v>44929</v>
      </c>
      <c r="CM32" s="242" t="s">
        <v>3202</v>
      </c>
      <c r="CN32" s="244"/>
      <c r="CO32" s="243">
        <v>45295</v>
      </c>
      <c r="CP32" s="242" t="s">
        <v>3202</v>
      </c>
    </row>
    <row r="33" spans="1:94">
      <c r="A33" s="907" t="s">
        <v>3297</v>
      </c>
      <c r="B33" s="907"/>
      <c r="C33" s="246" t="str" cm="1">
        <f t="array" aca="1" ref="C33" ca="1">_xlfn.IFS(Class037=0,"無し",Class037=1,"有り")</f>
        <v>無し</v>
      </c>
      <c r="D33" s="245">
        <v>30</v>
      </c>
      <c r="L33" s="253"/>
      <c r="M33" s="168"/>
      <c r="N33" s="239" t="s">
        <v>3296</v>
      </c>
      <c r="O33" s="239"/>
      <c r="P33" s="239"/>
      <c r="Q33" s="168"/>
      <c r="R33" s="168"/>
      <c r="S33" s="168"/>
      <c r="T33" s="168"/>
      <c r="U33" s="168"/>
      <c r="V33" s="168"/>
      <c r="W33" s="168"/>
      <c r="X33" s="168"/>
      <c r="Y33" s="168"/>
      <c r="Z33" s="168"/>
      <c r="AA33" s="168"/>
      <c r="AB33" s="168"/>
      <c r="AC33" s="168"/>
      <c r="AD33" s="168"/>
      <c r="AE33" s="169"/>
      <c r="AJ33" s="252"/>
      <c r="AM33" s="229"/>
      <c r="AO33" s="219"/>
      <c r="AQ33" s="217"/>
      <c r="AS33" s="225"/>
      <c r="AU33" s="543" t="s">
        <v>3290</v>
      </c>
      <c r="AV33" s="543" t="s">
        <v>57</v>
      </c>
      <c r="AW33" s="543" cm="1">
        <f t="array" aca="1" ref="AW33" ca="1">INDIRECT("'R'!R2C"&amp;MATCH(AV33,'R'!$1:$1,0),FALSE)</f>
        <v>0</v>
      </c>
      <c r="AY33" s="180"/>
      <c r="AZ33" s="179"/>
      <c r="BA33" s="177"/>
      <c r="BB33" s="177"/>
      <c r="BC33" s="177"/>
      <c r="BD33" s="177"/>
      <c r="BE33" s="177"/>
      <c r="BF33" s="178"/>
      <c r="BG33" s="178"/>
      <c r="BH33" s="177"/>
      <c r="BI33" s="176"/>
      <c r="BJ33" s="175"/>
      <c r="CI33" s="242"/>
      <c r="CJ33" s="242"/>
      <c r="CK33" s="244"/>
      <c r="CL33" s="243">
        <v>44935</v>
      </c>
      <c r="CM33" s="242" t="s">
        <v>3199</v>
      </c>
      <c r="CN33" s="244"/>
      <c r="CO33" s="243">
        <v>45296</v>
      </c>
      <c r="CP33" s="242" t="s">
        <v>3202</v>
      </c>
    </row>
    <row r="34" spans="1:94" ht="18.75" thickBot="1">
      <c r="A34" s="907" t="s">
        <v>3295</v>
      </c>
      <c r="B34" s="907"/>
      <c r="C34" s="246" t="str" cm="1">
        <f t="array" aca="1" ref="C34" ca="1">_xlfn.IFS(Class038=0,"無し",Class038=1,"有り")</f>
        <v>無し</v>
      </c>
      <c r="D34" s="245">
        <v>7</v>
      </c>
      <c r="M34" s="168"/>
      <c r="N34" s="239" t="s">
        <v>3294</v>
      </c>
      <c r="O34" s="239"/>
      <c r="P34" s="239"/>
      <c r="Q34" s="168"/>
      <c r="R34" s="168"/>
      <c r="S34" s="168"/>
      <c r="T34" s="168"/>
      <c r="U34" s="168"/>
      <c r="V34" s="168"/>
      <c r="W34" s="168"/>
      <c r="X34" s="168"/>
      <c r="Y34" s="168"/>
      <c r="Z34" s="168"/>
      <c r="AA34" s="168"/>
      <c r="AB34" s="168"/>
      <c r="AC34" s="168"/>
      <c r="AD34" s="168"/>
      <c r="AE34" s="169"/>
      <c r="AG34" s="251"/>
      <c r="AH34" s="251"/>
      <c r="AI34" s="251"/>
      <c r="AJ34" s="251"/>
      <c r="AK34" s="251"/>
      <c r="AL34" s="251"/>
      <c r="AM34" s="250"/>
      <c r="AO34" s="219">
        <v>44559</v>
      </c>
      <c r="AP34" s="169" t="s">
        <v>3238</v>
      </c>
      <c r="AQ34" s="217"/>
      <c r="AS34" s="225"/>
      <c r="AU34" s="543" t="s">
        <v>3283</v>
      </c>
      <c r="AV34" s="543" t="s">
        <v>58</v>
      </c>
      <c r="AW34" s="543" cm="1">
        <f t="array" aca="1" ref="AW34" ca="1">INDIRECT("'R'!R2C"&amp;MATCH(AV34,'R'!$1:$1,0),FALSE)</f>
        <v>0</v>
      </c>
      <c r="AY34" s="185"/>
      <c r="AZ34" s="184" t="s">
        <v>3293</v>
      </c>
      <c r="BA34" s="207" t="s">
        <v>3268</v>
      </c>
      <c r="BB34" s="207"/>
      <c r="BC34" s="207"/>
      <c r="BD34" s="207"/>
      <c r="BE34" s="207" t="s">
        <v>3286</v>
      </c>
      <c r="BF34" s="208">
        <v>25</v>
      </c>
      <c r="BG34" s="208" t="s">
        <v>3206</v>
      </c>
      <c r="BH34" s="207" t="s">
        <v>3248</v>
      </c>
      <c r="BI34" s="206"/>
      <c r="BJ34" s="175"/>
      <c r="CI34" s="242"/>
      <c r="CJ34" s="242"/>
      <c r="CK34" s="244"/>
      <c r="CL34" s="243">
        <v>44968</v>
      </c>
      <c r="CM34" s="242" t="s">
        <v>3198</v>
      </c>
      <c r="CN34" s="244"/>
      <c r="CO34" s="243">
        <v>45517</v>
      </c>
      <c r="CP34" s="242" t="s">
        <v>3203</v>
      </c>
    </row>
    <row r="35" spans="1:94">
      <c r="A35" s="907" t="s">
        <v>3292</v>
      </c>
      <c r="B35" s="928"/>
      <c r="C35" s="246" t="str" cm="1">
        <f t="array" aca="1" ref="C35" ca="1">_xlfn.IFS(Class039=0,"無し",Class039=1,"有り")</f>
        <v>無し</v>
      </c>
      <c r="D35" s="245">
        <v>5</v>
      </c>
      <c r="M35" s="168"/>
      <c r="N35" s="168"/>
      <c r="O35" s="168"/>
      <c r="P35" s="168"/>
      <c r="Q35" s="168"/>
      <c r="R35" s="168"/>
      <c r="S35" s="168"/>
      <c r="T35" s="168"/>
      <c r="U35" s="168"/>
      <c r="V35" s="168"/>
      <c r="W35" s="168"/>
      <c r="X35" s="168"/>
      <c r="Y35" s="168"/>
      <c r="Z35" s="168"/>
      <c r="AA35" s="168"/>
      <c r="AB35" s="168"/>
      <c r="AC35" s="168"/>
      <c r="AD35" s="168"/>
      <c r="AE35" s="169"/>
      <c r="AM35" s="249"/>
      <c r="AO35" s="219">
        <v>44560</v>
      </c>
      <c r="AP35" s="169" t="s">
        <v>3238</v>
      </c>
      <c r="AQ35" s="217"/>
      <c r="AS35" s="225"/>
      <c r="AU35" s="543" t="s">
        <v>3327</v>
      </c>
      <c r="AV35" s="543" t="s">
        <v>59</v>
      </c>
      <c r="AW35" s="543" cm="1">
        <f t="array" aca="1" ref="AW35" ca="1">INDIRECT("'R'!R2C"&amp;MATCH(AV35,'R'!$1:$1,0),FALSE)</f>
        <v>0</v>
      </c>
      <c r="AY35" s="185"/>
      <c r="AZ35" s="184"/>
      <c r="BA35" s="182" t="s">
        <v>3264</v>
      </c>
      <c r="BB35" s="207" t="s">
        <v>3291</v>
      </c>
      <c r="BC35" s="207"/>
      <c r="BD35" s="207"/>
      <c r="BE35" s="207" t="s">
        <v>3286</v>
      </c>
      <c r="BF35" s="208">
        <v>13</v>
      </c>
      <c r="BG35" s="208" t="s">
        <v>3206</v>
      </c>
      <c r="BH35" s="207" t="s">
        <v>3248</v>
      </c>
      <c r="BI35" s="206"/>
      <c r="BJ35" s="175"/>
      <c r="CI35" s="242"/>
      <c r="CJ35" s="242"/>
      <c r="CK35" s="244"/>
      <c r="CL35" s="243">
        <v>44980</v>
      </c>
      <c r="CM35" s="242" t="s">
        <v>3197</v>
      </c>
      <c r="CN35" s="244"/>
      <c r="CO35" s="243">
        <v>45518</v>
      </c>
      <c r="CP35" s="242" t="s">
        <v>3203</v>
      </c>
    </row>
    <row r="36" spans="1:94">
      <c r="A36" s="929" t="s">
        <v>3290</v>
      </c>
      <c r="B36" s="930"/>
      <c r="C36" s="248" t="str" cm="1">
        <f t="array" aca="1" ref="C36" ca="1">_xlfn.IFS(Class040=0,"無し",Class040=1,"有り(30日)",Class040=2,"有り(60日)",Class040=3,"有り(90日)")</f>
        <v>無し</v>
      </c>
      <c r="D36" s="245">
        <f ca="1">IF([R]建築許可="無し",0,IF([R]建築許可="30日",30,IF([R]建築許可="60日",60,IF([R]建築許可="90日",90,0))))</f>
        <v>0</v>
      </c>
      <c r="M36" s="168"/>
      <c r="N36" s="239" t="s">
        <v>3289</v>
      </c>
      <c r="O36" s="168"/>
      <c r="P36" s="168"/>
      <c r="Q36" s="168"/>
      <c r="R36" s="168"/>
      <c r="S36" s="168"/>
      <c r="T36" s="168"/>
      <c r="U36" s="168"/>
      <c r="V36" s="168"/>
      <c r="W36" s="168"/>
      <c r="X36" s="168"/>
      <c r="Y36" s="168"/>
      <c r="Z36" s="168"/>
      <c r="AA36" s="168"/>
      <c r="AB36" s="168"/>
      <c r="AC36" s="168"/>
      <c r="AD36" s="168"/>
      <c r="AE36" s="169"/>
      <c r="AG36" s="169" t="s">
        <v>3288</v>
      </c>
      <c r="AM36" s="229"/>
      <c r="AO36" s="219">
        <v>44561</v>
      </c>
      <c r="AP36" s="169" t="s">
        <v>3238</v>
      </c>
      <c r="AQ36" s="217"/>
      <c r="AS36" s="225"/>
      <c r="AU36" s="543" t="s">
        <v>3324</v>
      </c>
      <c r="AV36" s="543" t="s">
        <v>60</v>
      </c>
      <c r="AW36" s="543" cm="1">
        <f t="array" aca="1" ref="AW36" ca="1">INDIRECT("'R'!R2C"&amp;MATCH(AV36,'R'!$1:$1,0),FALSE)</f>
        <v>0</v>
      </c>
      <c r="AY36" s="185"/>
      <c r="AZ36" s="184"/>
      <c r="BA36" s="182"/>
      <c r="BB36" s="182" t="s">
        <v>3287</v>
      </c>
      <c r="BC36" s="182"/>
      <c r="BD36" s="182"/>
      <c r="BE36" s="182" t="s">
        <v>3286</v>
      </c>
      <c r="BF36" s="183">
        <v>15</v>
      </c>
      <c r="BG36" s="183" t="s">
        <v>3206</v>
      </c>
      <c r="BH36" s="182" t="s">
        <v>3248</v>
      </c>
      <c r="BI36" s="181"/>
      <c r="BJ36" s="175"/>
      <c r="CI36" s="242"/>
      <c r="CJ36" s="242"/>
      <c r="CK36" s="244"/>
      <c r="CL36" s="243">
        <v>45006</v>
      </c>
      <c r="CM36" s="242" t="s">
        <v>3196</v>
      </c>
      <c r="CN36" s="244"/>
      <c r="CO36" s="243">
        <v>45519</v>
      </c>
      <c r="CP36" s="242" t="s">
        <v>3203</v>
      </c>
    </row>
    <row r="37" spans="1:94">
      <c r="M37" s="168"/>
      <c r="N37" s="239" t="s">
        <v>3285</v>
      </c>
      <c r="O37" s="168"/>
      <c r="P37" s="168"/>
      <c r="Q37" s="168"/>
      <c r="R37" s="168"/>
      <c r="S37" s="168"/>
      <c r="T37" s="168"/>
      <c r="U37" s="168"/>
      <c r="V37" s="168"/>
      <c r="W37" s="168"/>
      <c r="X37" s="168"/>
      <c r="Y37" s="168"/>
      <c r="Z37" s="168"/>
      <c r="AA37" s="168"/>
      <c r="AB37" s="168"/>
      <c r="AC37" s="168"/>
      <c r="AD37" s="168"/>
      <c r="AE37" s="169"/>
      <c r="AG37" s="169" t="s">
        <v>3284</v>
      </c>
      <c r="AM37" s="229"/>
      <c r="AO37" s="218">
        <v>44562</v>
      </c>
      <c r="AP37" s="169" t="s">
        <v>3238</v>
      </c>
      <c r="AQ37" s="217"/>
      <c r="AS37" s="225"/>
      <c r="AU37" s="543" t="s">
        <v>3321</v>
      </c>
      <c r="AV37" s="543" t="s">
        <v>61</v>
      </c>
      <c r="AW37" s="543" cm="1">
        <f t="array" aca="1" ref="AW37" ca="1">INDIRECT("'R'!R2C"&amp;MATCH(AV37,'R'!$1:$1,0),FALSE)</f>
        <v>0</v>
      </c>
      <c r="AY37" s="180"/>
      <c r="AZ37" s="179"/>
      <c r="BA37" s="177"/>
      <c r="BB37" s="177"/>
      <c r="BC37" s="177"/>
      <c r="BD37" s="177"/>
      <c r="BE37" s="177"/>
      <c r="BF37" s="178"/>
      <c r="BG37" s="178"/>
      <c r="BH37" s="177"/>
      <c r="BI37" s="176"/>
      <c r="BJ37" s="175"/>
      <c r="CI37" s="242"/>
      <c r="CJ37" s="242"/>
      <c r="CK37" s="244"/>
      <c r="CL37" s="243">
        <v>45045</v>
      </c>
      <c r="CM37" s="242" t="s">
        <v>3195</v>
      </c>
      <c r="CN37" s="244"/>
      <c r="CO37" s="243">
        <v>45520</v>
      </c>
      <c r="CP37" s="242" t="s">
        <v>3203</v>
      </c>
    </row>
    <row r="38" spans="1:94">
      <c r="A38" s="907" t="s">
        <v>3283</v>
      </c>
      <c r="B38" s="907"/>
      <c r="C38" s="246" t="str" cm="1">
        <f t="array" aca="1" ref="C38" ca="1">_xlfn.IFS(Class041=0,"無し",Class041=1,"有り")</f>
        <v>無し</v>
      </c>
      <c r="D38" s="245">
        <v>20</v>
      </c>
      <c r="M38" s="168"/>
      <c r="N38" s="239" t="s">
        <v>3282</v>
      </c>
      <c r="O38" s="168"/>
      <c r="P38" s="168"/>
      <c r="Q38" s="168"/>
      <c r="R38" s="168"/>
      <c r="S38" s="168"/>
      <c r="T38" s="168"/>
      <c r="U38" s="168"/>
      <c r="V38" s="168"/>
      <c r="W38" s="168"/>
      <c r="X38" s="168"/>
      <c r="Y38" s="168"/>
      <c r="Z38" s="168"/>
      <c r="AA38" s="168"/>
      <c r="AB38" s="168"/>
      <c r="AC38" s="168"/>
      <c r="AD38" s="168"/>
      <c r="AE38" s="169"/>
      <c r="AM38" s="229"/>
      <c r="AO38" s="218">
        <v>44563</v>
      </c>
      <c r="AP38" s="169" t="s">
        <v>3238</v>
      </c>
      <c r="AQ38" s="217"/>
      <c r="AS38" s="225"/>
      <c r="AU38" s="543" t="s">
        <v>3316</v>
      </c>
      <c r="AV38" s="543" t="s">
        <v>62</v>
      </c>
      <c r="AW38" s="543" cm="1">
        <f t="array" aca="1" ref="AW38" ca="1">INDIRECT("'R'!R2C"&amp;MATCH(AV38,'R'!$1:$1,0),FALSE)</f>
        <v>0</v>
      </c>
      <c r="AY38" s="185"/>
      <c r="AZ38" s="184" t="s">
        <v>3281</v>
      </c>
      <c r="BA38" s="207" t="s">
        <v>3280</v>
      </c>
      <c r="BB38" s="207"/>
      <c r="BC38" s="207"/>
      <c r="BD38" s="207"/>
      <c r="BE38" s="207" t="s">
        <v>3276</v>
      </c>
      <c r="BF38" s="208">
        <v>17</v>
      </c>
      <c r="BG38" s="208" t="s">
        <v>3254</v>
      </c>
      <c r="BH38" s="207" t="s">
        <v>3248</v>
      </c>
      <c r="BI38" s="206"/>
      <c r="BJ38" s="175"/>
      <c r="CI38" s="242"/>
      <c r="CJ38" s="242"/>
      <c r="CK38" s="244"/>
      <c r="CL38" s="243">
        <v>45049</v>
      </c>
      <c r="CM38" s="242" t="s">
        <v>3194</v>
      </c>
      <c r="CN38" s="244"/>
      <c r="CO38" s="243">
        <v>45655</v>
      </c>
      <c r="CP38" s="242" t="s">
        <v>3202</v>
      </c>
    </row>
    <row r="39" spans="1:94">
      <c r="M39" s="168"/>
      <c r="N39" s="239" t="s">
        <v>3279</v>
      </c>
      <c r="O39" s="168"/>
      <c r="P39" s="168"/>
      <c r="Q39" s="168"/>
      <c r="R39" s="168"/>
      <c r="S39" s="168"/>
      <c r="T39" s="168"/>
      <c r="U39" s="168"/>
      <c r="V39" s="168"/>
      <c r="W39" s="168"/>
      <c r="X39" s="168"/>
      <c r="Y39" s="168"/>
      <c r="Z39" s="168"/>
      <c r="AA39" s="168"/>
      <c r="AB39" s="168"/>
      <c r="AC39" s="168"/>
      <c r="AD39" s="168"/>
      <c r="AE39" s="169"/>
      <c r="AG39" s="169" t="s">
        <v>3278</v>
      </c>
      <c r="AM39" s="229"/>
      <c r="AO39" s="218">
        <v>44564</v>
      </c>
      <c r="AP39" s="169" t="s">
        <v>3238</v>
      </c>
      <c r="AQ39" s="217"/>
      <c r="AS39" s="225"/>
      <c r="AU39" s="543" t="s">
        <v>3309</v>
      </c>
      <c r="AV39" s="543" t="s">
        <v>63</v>
      </c>
      <c r="AW39" s="543" cm="1">
        <f t="array" aca="1" ref="AW39" ca="1">INDIRECT("'R'!R2C"&amp;MATCH(AV39,'R'!$1:$1,0),FALSE)</f>
        <v>0</v>
      </c>
      <c r="AY39" s="185"/>
      <c r="AZ39" s="184"/>
      <c r="BA39" s="182" t="s">
        <v>3277</v>
      </c>
      <c r="BB39" s="182"/>
      <c r="BC39" s="182"/>
      <c r="BD39" s="182"/>
      <c r="BE39" s="182" t="s">
        <v>3276</v>
      </c>
      <c r="BF39" s="183">
        <v>12</v>
      </c>
      <c r="BG39" s="183" t="s">
        <v>3254</v>
      </c>
      <c r="BH39" s="182" t="s">
        <v>3248</v>
      </c>
      <c r="BI39" s="181"/>
      <c r="BJ39" s="175"/>
      <c r="CI39" s="242"/>
      <c r="CJ39" s="242"/>
      <c r="CK39" s="244"/>
      <c r="CL39" s="243">
        <v>45050</v>
      </c>
      <c r="CM39" s="242" t="s">
        <v>3193</v>
      </c>
      <c r="CN39" s="244"/>
      <c r="CO39" s="243">
        <v>45656</v>
      </c>
      <c r="CP39" s="242" t="s">
        <v>3202</v>
      </c>
    </row>
    <row r="40" spans="1:94">
      <c r="B40" s="240" t="s">
        <v>3275</v>
      </c>
      <c r="C40" s="168"/>
      <c r="M40" s="168"/>
      <c r="N40" s="239" t="s">
        <v>3274</v>
      </c>
      <c r="O40" s="168"/>
      <c r="P40" s="168"/>
      <c r="Q40" s="168"/>
      <c r="R40" s="168"/>
      <c r="S40" s="168"/>
      <c r="T40" s="168"/>
      <c r="U40" s="168"/>
      <c r="V40" s="168"/>
      <c r="W40" s="168"/>
      <c r="X40" s="168"/>
      <c r="Y40" s="168"/>
      <c r="Z40" s="168"/>
      <c r="AA40" s="168"/>
      <c r="AB40" s="168"/>
      <c r="AC40" s="168"/>
      <c r="AD40" s="168"/>
      <c r="AE40" s="169"/>
      <c r="AG40" s="169" t="s">
        <v>3273</v>
      </c>
      <c r="AM40" s="229"/>
      <c r="AO40" s="218"/>
      <c r="AQ40" s="217"/>
      <c r="AS40" s="225"/>
      <c r="AU40" s="543" t="s">
        <v>3303</v>
      </c>
      <c r="AV40" s="543" t="s">
        <v>64</v>
      </c>
      <c r="AW40" s="543" cm="1">
        <f t="array" aca="1" ref="AW40" ca="1">INDIRECT("'R'!R2C"&amp;MATCH(AV40,'R'!$1:$1,0),FALSE)</f>
        <v>0</v>
      </c>
      <c r="AY40" s="180"/>
      <c r="AZ40" s="179"/>
      <c r="BA40" s="177"/>
      <c r="BB40" s="177"/>
      <c r="BC40" s="177"/>
      <c r="BD40" s="177"/>
      <c r="BE40" s="177"/>
      <c r="BF40" s="178"/>
      <c r="BG40" s="178"/>
      <c r="BH40" s="177"/>
      <c r="BI40" s="176"/>
      <c r="BJ40" s="175"/>
      <c r="CI40" s="242"/>
      <c r="CJ40" s="242"/>
      <c r="CK40" s="244"/>
      <c r="CL40" s="243">
        <v>45051</v>
      </c>
      <c r="CM40" s="242" t="s">
        <v>3192</v>
      </c>
      <c r="CN40" s="244"/>
      <c r="CO40" s="243">
        <v>45657</v>
      </c>
      <c r="CP40" s="242" t="s">
        <v>3202</v>
      </c>
    </row>
    <row r="41" spans="1:94">
      <c r="B41" s="241" t="s">
        <v>3272</v>
      </c>
      <c r="C41" s="168"/>
      <c r="M41" s="168"/>
      <c r="N41" s="239" t="s">
        <v>3271</v>
      </c>
      <c r="O41" s="168"/>
      <c r="P41" s="168"/>
      <c r="Q41" s="168"/>
      <c r="R41" s="168"/>
      <c r="S41" s="168"/>
      <c r="T41" s="168"/>
      <c r="U41" s="168"/>
      <c r="V41" s="168"/>
      <c r="W41" s="168"/>
      <c r="X41" s="168"/>
      <c r="Y41" s="168"/>
      <c r="Z41" s="168"/>
      <c r="AA41" s="168"/>
      <c r="AB41" s="168"/>
      <c r="AC41" s="168"/>
      <c r="AD41" s="168"/>
      <c r="AE41" s="169"/>
      <c r="AG41" s="169" t="s">
        <v>3270</v>
      </c>
      <c r="AM41" s="229"/>
      <c r="AO41" s="216"/>
      <c r="AP41" s="215"/>
      <c r="AQ41" s="214"/>
      <c r="AS41" s="225"/>
      <c r="AY41" s="185"/>
      <c r="AZ41" s="226" t="s">
        <v>3269</v>
      </c>
      <c r="BA41" s="207" t="s">
        <v>3268</v>
      </c>
      <c r="BB41" s="207"/>
      <c r="BC41" s="207"/>
      <c r="BD41" s="207"/>
      <c r="BE41" s="207" t="s">
        <v>3245</v>
      </c>
      <c r="BF41" s="208">
        <v>45</v>
      </c>
      <c r="BG41" s="208" t="s">
        <v>3206</v>
      </c>
      <c r="BH41" s="207" t="s">
        <v>3205</v>
      </c>
      <c r="BI41" s="206"/>
      <c r="BJ41" s="175"/>
      <c r="CI41" s="242"/>
      <c r="CJ41" s="242"/>
      <c r="CK41" s="244"/>
      <c r="CL41" s="243">
        <v>45124</v>
      </c>
      <c r="CM41" s="242" t="s">
        <v>3191</v>
      </c>
      <c r="CN41" s="244"/>
      <c r="CO41" s="243">
        <v>45658</v>
      </c>
      <c r="CP41" s="242" t="s">
        <v>3202</v>
      </c>
    </row>
    <row r="42" spans="1:94">
      <c r="B42" s="241" t="s">
        <v>3267</v>
      </c>
      <c r="M42" s="168"/>
      <c r="N42" s="239"/>
      <c r="O42" s="168"/>
      <c r="P42" s="240" t="s">
        <v>3266</v>
      </c>
      <c r="Q42" s="168"/>
      <c r="R42" s="168"/>
      <c r="S42" s="168"/>
      <c r="T42" s="168"/>
      <c r="U42" s="168"/>
      <c r="V42" s="168"/>
      <c r="W42" s="168"/>
      <c r="X42" s="168"/>
      <c r="Y42" s="168"/>
      <c r="Z42" s="168"/>
      <c r="AA42" s="168"/>
      <c r="AB42" s="168"/>
      <c r="AC42" s="168"/>
      <c r="AD42" s="168"/>
      <c r="AE42" s="169"/>
      <c r="AM42" s="229"/>
      <c r="AO42" s="169" t="s">
        <v>3265</v>
      </c>
      <c r="AS42" s="225"/>
      <c r="AY42" s="185"/>
      <c r="AZ42" s="226"/>
      <c r="BA42" s="182" t="s">
        <v>3264</v>
      </c>
      <c r="BB42" s="182"/>
      <c r="BC42" s="182"/>
      <c r="BD42" s="189"/>
      <c r="BE42" s="195" t="s">
        <v>3263</v>
      </c>
      <c r="BF42" s="194">
        <v>5</v>
      </c>
      <c r="BG42" s="194" t="s">
        <v>3206</v>
      </c>
      <c r="BH42" s="193" t="s">
        <v>3205</v>
      </c>
      <c r="BI42" s="927" t="s">
        <v>3208</v>
      </c>
      <c r="BJ42" s="175"/>
      <c r="CL42" s="174">
        <v>45149</v>
      </c>
      <c r="CM42" s="173" t="s">
        <v>3190</v>
      </c>
      <c r="CO42" s="174">
        <v>45659</v>
      </c>
      <c r="CP42" s="173" t="s">
        <v>3202</v>
      </c>
    </row>
    <row r="43" spans="1:94">
      <c r="M43" s="168"/>
      <c r="N43" s="239" t="s">
        <v>3262</v>
      </c>
      <c r="O43" s="168"/>
      <c r="P43" s="239" t="s">
        <v>3261</v>
      </c>
      <c r="Q43" s="168"/>
      <c r="R43" s="168"/>
      <c r="S43" s="168"/>
      <c r="T43" s="168"/>
      <c r="U43" s="168"/>
      <c r="V43" s="168"/>
      <c r="W43" s="168"/>
      <c r="X43" s="168"/>
      <c r="Y43" s="168"/>
      <c r="Z43" s="168"/>
      <c r="AA43" s="168"/>
      <c r="AB43" s="168"/>
      <c r="AC43" s="168"/>
      <c r="AD43" s="168"/>
      <c r="AE43" s="169"/>
      <c r="AM43" s="229"/>
      <c r="AO43" s="237"/>
      <c r="AS43" s="225"/>
      <c r="AY43" s="185"/>
      <c r="AZ43" s="226"/>
      <c r="BA43" s="182"/>
      <c r="BB43" s="182"/>
      <c r="BC43" s="182"/>
      <c r="BD43" s="189"/>
      <c r="BE43" s="188" t="s">
        <v>3252</v>
      </c>
      <c r="BF43" s="187">
        <v>1</v>
      </c>
      <c r="BG43" s="187" t="s">
        <v>3206</v>
      </c>
      <c r="BH43" s="186" t="s">
        <v>3205</v>
      </c>
      <c r="BI43" s="911"/>
      <c r="BJ43" s="175"/>
      <c r="CL43" s="174">
        <v>45151</v>
      </c>
      <c r="CM43" s="173" t="s">
        <v>3203</v>
      </c>
      <c r="CO43" s="174">
        <v>45660</v>
      </c>
      <c r="CP43" s="173" t="s">
        <v>3202</v>
      </c>
    </row>
    <row r="44" spans="1:94">
      <c r="M44" s="168"/>
      <c r="N44" s="239" t="s">
        <v>3260</v>
      </c>
      <c r="O44" s="168"/>
      <c r="P44" s="168"/>
      <c r="Q44" s="168"/>
      <c r="R44" s="168"/>
      <c r="S44" s="168"/>
      <c r="T44" s="168"/>
      <c r="U44" s="168"/>
      <c r="V44" s="168"/>
      <c r="W44" s="168"/>
      <c r="X44" s="168"/>
      <c r="Y44" s="168"/>
      <c r="Z44" s="168"/>
      <c r="AA44" s="168"/>
      <c r="AB44" s="168"/>
      <c r="AC44" s="168"/>
      <c r="AD44" s="168"/>
      <c r="AE44" s="169"/>
      <c r="AM44" s="229"/>
      <c r="AO44" s="237"/>
      <c r="AS44" s="225"/>
      <c r="AY44" s="180"/>
      <c r="AZ44" s="227"/>
      <c r="BA44" s="177"/>
      <c r="BB44" s="177"/>
      <c r="BC44" s="177"/>
      <c r="BD44" s="177"/>
      <c r="BE44" s="177"/>
      <c r="BF44" s="178"/>
      <c r="BG44" s="178"/>
      <c r="BH44" s="177"/>
      <c r="BI44" s="176"/>
      <c r="BJ44" s="175"/>
      <c r="CL44" s="174">
        <v>45152</v>
      </c>
      <c r="CM44" s="173" t="s">
        <v>3203</v>
      </c>
      <c r="CO44" s="174">
        <v>45661</v>
      </c>
      <c r="CP44" s="173" t="s">
        <v>3202</v>
      </c>
    </row>
    <row r="45" spans="1:94">
      <c r="M45" s="168"/>
      <c r="N45" s="239" t="s">
        <v>3259</v>
      </c>
      <c r="O45" s="168"/>
      <c r="P45" s="168"/>
      <c r="Q45" s="168"/>
      <c r="R45" s="168"/>
      <c r="S45" s="168"/>
      <c r="T45" s="168"/>
      <c r="U45" s="168"/>
      <c r="V45" s="168"/>
      <c r="W45" s="168"/>
      <c r="X45" s="168"/>
      <c r="Y45" s="168"/>
      <c r="Z45" s="168"/>
      <c r="AA45" s="168"/>
      <c r="AB45" s="168"/>
      <c r="AC45" s="168" t="s">
        <v>3258</v>
      </c>
      <c r="AD45" s="168"/>
      <c r="AE45" s="238">
        <v>44886</v>
      </c>
      <c r="AM45" s="229"/>
      <c r="AO45" s="237" t="s">
        <v>3257</v>
      </c>
      <c r="AS45" s="225"/>
      <c r="AY45" s="185"/>
      <c r="AZ45" s="226" t="s">
        <v>3256</v>
      </c>
      <c r="BA45" s="210" t="s">
        <v>3234</v>
      </c>
      <c r="BB45" s="210"/>
      <c r="BC45" s="210"/>
      <c r="BD45" s="210"/>
      <c r="BE45" s="210" t="s">
        <v>3255</v>
      </c>
      <c r="BF45" s="236">
        <v>18</v>
      </c>
      <c r="BG45" s="236" t="s">
        <v>3254</v>
      </c>
      <c r="BH45" s="210" t="s">
        <v>3248</v>
      </c>
      <c r="BI45" s="235"/>
      <c r="BJ45" s="175"/>
      <c r="CL45" s="174">
        <v>45153</v>
      </c>
      <c r="CM45" s="173" t="s">
        <v>3203</v>
      </c>
      <c r="CO45" s="174">
        <v>45662</v>
      </c>
      <c r="CP45" s="173" t="s">
        <v>3202</v>
      </c>
    </row>
    <row r="46" spans="1:94">
      <c r="M46" s="168"/>
      <c r="AE46" s="234"/>
      <c r="AM46" s="229"/>
      <c r="AO46" s="233">
        <v>44197</v>
      </c>
      <c r="AP46" s="169" t="s">
        <v>3238</v>
      </c>
      <c r="AQ46" s="232"/>
      <c r="AS46" s="225"/>
      <c r="AY46" s="185"/>
      <c r="AZ46" s="175"/>
      <c r="BA46" s="177"/>
      <c r="BB46" s="177"/>
      <c r="BC46" s="177"/>
      <c r="BD46" s="177"/>
      <c r="BE46" s="230" t="s">
        <v>3252</v>
      </c>
      <c r="BF46" s="231">
        <v>5</v>
      </c>
      <c r="BG46" s="231" t="s">
        <v>3206</v>
      </c>
      <c r="BH46" s="230" t="s">
        <v>3243</v>
      </c>
      <c r="BI46" s="176"/>
      <c r="BJ46" s="175"/>
      <c r="CL46" s="174">
        <v>45154</v>
      </c>
      <c r="CM46" s="173" t="s">
        <v>3203</v>
      </c>
      <c r="CO46" s="174">
        <v>45882</v>
      </c>
      <c r="CP46" s="173" t="s">
        <v>3203</v>
      </c>
    </row>
    <row r="47" spans="1:94">
      <c r="N47" s="228"/>
      <c r="AM47" s="229"/>
      <c r="AO47" s="219">
        <v>44198</v>
      </c>
      <c r="AP47" s="169" t="s">
        <v>3238</v>
      </c>
      <c r="AQ47" s="217"/>
      <c r="AS47" s="225"/>
      <c r="AY47" s="185"/>
      <c r="AZ47" s="226"/>
      <c r="BA47" s="182" t="s">
        <v>3233</v>
      </c>
      <c r="BB47" s="182"/>
      <c r="BC47" s="182"/>
      <c r="BD47" s="182"/>
      <c r="BE47" s="177" t="s">
        <v>3255</v>
      </c>
      <c r="BF47" s="178">
        <v>7</v>
      </c>
      <c r="BG47" s="178" t="s">
        <v>3254</v>
      </c>
      <c r="BH47" s="177" t="s">
        <v>3248</v>
      </c>
      <c r="BI47" s="176"/>
      <c r="BJ47" s="175"/>
      <c r="CL47" s="174">
        <v>45187</v>
      </c>
      <c r="CM47" s="173" t="s">
        <v>3189</v>
      </c>
      <c r="CO47" s="174">
        <v>45883</v>
      </c>
      <c r="CP47" s="173" t="s">
        <v>3203</v>
      </c>
    </row>
    <row r="48" spans="1:94">
      <c r="AM48" s="229"/>
      <c r="AO48" s="219">
        <v>44199</v>
      </c>
      <c r="AP48" s="169" t="s">
        <v>3238</v>
      </c>
      <c r="AQ48" s="217"/>
      <c r="AS48" s="225"/>
      <c r="AY48" s="180"/>
      <c r="AZ48" s="227"/>
      <c r="BA48" s="177"/>
      <c r="BB48" s="177"/>
      <c r="BC48" s="177"/>
      <c r="BD48" s="177"/>
      <c r="BE48" s="207"/>
      <c r="BF48" s="208"/>
      <c r="BG48" s="208"/>
      <c r="BH48" s="207"/>
      <c r="BI48" s="206"/>
      <c r="BJ48" s="175"/>
      <c r="CL48" s="174">
        <v>45192</v>
      </c>
      <c r="CM48" s="173" t="s">
        <v>3187</v>
      </c>
      <c r="CO48" s="174">
        <v>45884</v>
      </c>
      <c r="CP48" s="173" t="s">
        <v>3203</v>
      </c>
    </row>
    <row r="49" spans="13:94">
      <c r="AM49" s="229"/>
      <c r="AO49" s="219">
        <v>44200</v>
      </c>
      <c r="AP49" s="169" t="s">
        <v>3238</v>
      </c>
      <c r="AQ49" s="217"/>
      <c r="AS49" s="225"/>
      <c r="AY49" s="185"/>
      <c r="AZ49" s="226" t="s">
        <v>3253</v>
      </c>
      <c r="BA49" s="207" t="s">
        <v>3222</v>
      </c>
      <c r="BB49" s="207"/>
      <c r="BC49" s="207"/>
      <c r="BD49" s="207"/>
      <c r="BE49" s="212" t="s">
        <v>3226</v>
      </c>
      <c r="BF49" s="213" t="s">
        <v>3226</v>
      </c>
      <c r="BG49" s="213" t="s">
        <v>3226</v>
      </c>
      <c r="BH49" s="212" t="s">
        <v>3226</v>
      </c>
      <c r="BI49" s="211" t="s">
        <v>3225</v>
      </c>
      <c r="BJ49" s="175"/>
      <c r="CL49" s="174">
        <v>45208</v>
      </c>
      <c r="CM49" s="173" t="s">
        <v>3186</v>
      </c>
      <c r="CO49" s="174">
        <v>45885</v>
      </c>
      <c r="CP49" s="173" t="s">
        <v>3203</v>
      </c>
    </row>
    <row r="50" spans="13:94">
      <c r="M50" s="228"/>
      <c r="N50" s="228"/>
      <c r="AO50" s="219">
        <v>44201</v>
      </c>
      <c r="AP50" s="169" t="s">
        <v>3238</v>
      </c>
      <c r="AQ50" s="217"/>
      <c r="AS50" s="225"/>
      <c r="AY50" s="185"/>
      <c r="AZ50" s="226"/>
      <c r="BA50" s="182" t="s">
        <v>3224</v>
      </c>
      <c r="BB50" s="182"/>
      <c r="BC50" s="182"/>
      <c r="BD50" s="182"/>
      <c r="BE50" s="182" t="s">
        <v>3252</v>
      </c>
      <c r="BF50" s="183">
        <v>1</v>
      </c>
      <c r="BG50" s="183" t="s">
        <v>3226</v>
      </c>
      <c r="BH50" s="182" t="s">
        <v>3226</v>
      </c>
      <c r="BI50" s="181" t="s">
        <v>3251</v>
      </c>
      <c r="BJ50" s="175"/>
      <c r="CL50" s="174">
        <v>45233</v>
      </c>
      <c r="CM50" s="173" t="s">
        <v>3185</v>
      </c>
      <c r="CO50" s="174">
        <v>46020</v>
      </c>
      <c r="CP50" s="173" t="s">
        <v>3202</v>
      </c>
    </row>
    <row r="51" spans="13:94">
      <c r="AO51" s="219">
        <v>44421</v>
      </c>
      <c r="AP51" s="169" t="s">
        <v>3247</v>
      </c>
      <c r="AQ51" s="217"/>
      <c r="AS51" s="225"/>
      <c r="AY51" s="180"/>
      <c r="AZ51" s="227"/>
      <c r="BA51" s="177"/>
      <c r="BB51" s="177"/>
      <c r="BC51" s="177"/>
      <c r="BD51" s="177"/>
      <c r="BE51" s="177"/>
      <c r="BF51" s="178"/>
      <c r="BG51" s="178"/>
      <c r="BH51" s="177"/>
      <c r="BI51" s="176"/>
      <c r="BJ51" s="175"/>
      <c r="CL51" s="174">
        <v>45253</v>
      </c>
      <c r="CM51" s="173" t="s">
        <v>3184</v>
      </c>
      <c r="CO51" s="174">
        <v>46021</v>
      </c>
      <c r="CP51" s="173" t="s">
        <v>3202</v>
      </c>
    </row>
    <row r="52" spans="13:94">
      <c r="AO52" s="219">
        <v>44422</v>
      </c>
      <c r="AP52" s="169" t="s">
        <v>3247</v>
      </c>
      <c r="AQ52" s="217"/>
      <c r="AS52" s="225"/>
      <c r="AY52" s="185"/>
      <c r="AZ52" s="226" t="s">
        <v>3250</v>
      </c>
      <c r="BA52" s="207" t="s">
        <v>3222</v>
      </c>
      <c r="BB52" s="207"/>
      <c r="BC52" s="207"/>
      <c r="BD52" s="207"/>
      <c r="BE52" s="212" t="s">
        <v>3226</v>
      </c>
      <c r="BF52" s="213" t="s">
        <v>3226</v>
      </c>
      <c r="BG52" s="213" t="s">
        <v>3226</v>
      </c>
      <c r="BH52" s="212" t="s">
        <v>3226</v>
      </c>
      <c r="BI52" s="211" t="s">
        <v>3225</v>
      </c>
      <c r="BJ52" s="175"/>
      <c r="CL52" s="174">
        <v>45289</v>
      </c>
      <c r="CM52" s="173" t="s">
        <v>3202</v>
      </c>
      <c r="CO52" s="174">
        <v>46022</v>
      </c>
      <c r="CP52" s="173" t="s">
        <v>3202</v>
      </c>
    </row>
    <row r="53" spans="13:94">
      <c r="AO53" s="219">
        <v>44423</v>
      </c>
      <c r="AP53" s="169" t="s">
        <v>3247</v>
      </c>
      <c r="AQ53" s="217"/>
      <c r="AS53" s="225"/>
      <c r="AY53" s="185"/>
      <c r="AZ53" s="184"/>
      <c r="BA53" s="182" t="s">
        <v>3224</v>
      </c>
      <c r="BB53" s="182"/>
      <c r="BC53" s="182"/>
      <c r="BD53" s="182"/>
      <c r="BE53" s="182" t="s">
        <v>3249</v>
      </c>
      <c r="BF53" s="183">
        <v>14</v>
      </c>
      <c r="BG53" s="183" t="s">
        <v>3206</v>
      </c>
      <c r="BH53" s="182" t="s">
        <v>3248</v>
      </c>
      <c r="BI53" s="181"/>
      <c r="BJ53" s="175"/>
      <c r="CL53" s="174">
        <v>45290</v>
      </c>
      <c r="CM53" s="173" t="s">
        <v>3202</v>
      </c>
      <c r="CO53" s="174">
        <v>46023</v>
      </c>
      <c r="CP53" s="173" t="s">
        <v>3202</v>
      </c>
    </row>
    <row r="54" spans="13:94">
      <c r="AO54" s="219">
        <v>44424</v>
      </c>
      <c r="AP54" s="169" t="s">
        <v>3247</v>
      </c>
      <c r="AQ54" s="217"/>
      <c r="AY54" s="180"/>
      <c r="AZ54" s="179"/>
      <c r="BA54" s="177"/>
      <c r="BB54" s="177"/>
      <c r="BC54" s="177"/>
      <c r="BD54" s="177"/>
      <c r="BE54" s="177"/>
      <c r="BF54" s="178"/>
      <c r="BG54" s="178"/>
      <c r="BH54" s="177"/>
      <c r="BI54" s="176"/>
      <c r="BJ54" s="175"/>
      <c r="CL54" s="174">
        <v>45291</v>
      </c>
      <c r="CM54" s="173" t="s">
        <v>3202</v>
      </c>
      <c r="CO54" s="174">
        <v>46024</v>
      </c>
      <c r="CP54" s="173" t="s">
        <v>3202</v>
      </c>
    </row>
    <row r="55" spans="13:94">
      <c r="AO55" s="219"/>
      <c r="AQ55" s="217"/>
      <c r="AY55" s="185"/>
      <c r="AZ55" s="184" t="s">
        <v>3246</v>
      </c>
      <c r="BA55" s="207" t="s">
        <v>3222</v>
      </c>
      <c r="BB55" s="207"/>
      <c r="BC55" s="207"/>
      <c r="BD55" s="207"/>
      <c r="BE55" s="207" t="s">
        <v>3245</v>
      </c>
      <c r="BF55" s="208">
        <v>5</v>
      </c>
      <c r="BG55" s="208" t="s">
        <v>3206</v>
      </c>
      <c r="BH55" s="207" t="s">
        <v>3243</v>
      </c>
      <c r="BI55" s="206"/>
      <c r="BJ55" s="175" t="s">
        <v>3242</v>
      </c>
      <c r="CL55" s="174">
        <v>45292</v>
      </c>
      <c r="CM55" s="173" t="s">
        <v>3200</v>
      </c>
      <c r="CO55" s="174">
        <v>46025</v>
      </c>
      <c r="CP55" s="173" t="s">
        <v>3202</v>
      </c>
    </row>
    <row r="56" spans="13:94">
      <c r="AO56" s="219"/>
      <c r="AQ56" s="217"/>
      <c r="AY56" s="185"/>
      <c r="AZ56" s="184"/>
      <c r="BA56" s="182" t="s">
        <v>3224</v>
      </c>
      <c r="BB56" s="182"/>
      <c r="BC56" s="182"/>
      <c r="BD56" s="182"/>
      <c r="BE56" s="224" t="s">
        <v>3244</v>
      </c>
      <c r="BF56" s="209">
        <v>2</v>
      </c>
      <c r="BG56" s="209" t="s">
        <v>3206</v>
      </c>
      <c r="BH56" s="224" t="s">
        <v>3243</v>
      </c>
      <c r="BI56" s="223"/>
      <c r="BJ56" s="175" t="s">
        <v>3242</v>
      </c>
      <c r="CL56" s="174">
        <v>45293</v>
      </c>
      <c r="CM56" s="173" t="s">
        <v>3202</v>
      </c>
      <c r="CO56" s="174">
        <v>46026</v>
      </c>
      <c r="CP56" s="173" t="s">
        <v>3202</v>
      </c>
    </row>
    <row r="57" spans="13:94">
      <c r="AO57" s="219">
        <v>44559</v>
      </c>
      <c r="AP57" s="169" t="s">
        <v>3238</v>
      </c>
      <c r="AQ57" s="217"/>
      <c r="AY57" s="180"/>
      <c r="AZ57" s="179"/>
      <c r="BA57" s="177"/>
      <c r="BB57" s="177"/>
      <c r="BC57" s="177"/>
      <c r="BD57" s="177"/>
      <c r="BE57" s="221"/>
      <c r="BF57" s="222"/>
      <c r="BG57" s="222"/>
      <c r="BH57" s="221"/>
      <c r="BI57" s="220"/>
      <c r="BJ57" s="175"/>
      <c r="CL57" s="174">
        <v>45294</v>
      </c>
      <c r="CM57" s="173" t="s">
        <v>3202</v>
      </c>
      <c r="CO57" s="174">
        <v>46027</v>
      </c>
      <c r="CP57" s="173" t="s">
        <v>3202</v>
      </c>
    </row>
    <row r="58" spans="13:94">
      <c r="AO58" s="219">
        <v>44560</v>
      </c>
      <c r="AP58" s="169" t="s">
        <v>3238</v>
      </c>
      <c r="AQ58" s="217"/>
      <c r="AY58" s="185"/>
      <c r="AZ58" s="184" t="s">
        <v>3241</v>
      </c>
      <c r="BA58" s="207" t="s">
        <v>3240</v>
      </c>
      <c r="BB58" s="207"/>
      <c r="BC58" s="207"/>
      <c r="BD58" s="207"/>
      <c r="BE58" s="207" t="s">
        <v>3230</v>
      </c>
      <c r="BF58" s="208">
        <v>27</v>
      </c>
      <c r="BG58" s="208" t="s">
        <v>3206</v>
      </c>
      <c r="BH58" s="207" t="s">
        <v>3205</v>
      </c>
      <c r="BI58" s="206"/>
      <c r="BJ58" s="175"/>
      <c r="CL58" s="174">
        <v>45299</v>
      </c>
      <c r="CM58" s="173" t="s">
        <v>3199</v>
      </c>
      <c r="CO58" s="174">
        <v>46247</v>
      </c>
      <c r="CP58" s="173" t="s">
        <v>3203</v>
      </c>
    </row>
    <row r="59" spans="13:94">
      <c r="AO59" s="219">
        <v>44561</v>
      </c>
      <c r="AP59" s="169" t="s">
        <v>3238</v>
      </c>
      <c r="AQ59" s="217"/>
      <c r="AY59" s="185"/>
      <c r="AZ59" s="184"/>
      <c r="BA59" s="182" t="s">
        <v>3239</v>
      </c>
      <c r="BB59" s="207" t="s">
        <v>3224</v>
      </c>
      <c r="BC59" s="207"/>
      <c r="BD59" s="207"/>
      <c r="BE59" s="207" t="s">
        <v>3235</v>
      </c>
      <c r="BF59" s="208">
        <v>10</v>
      </c>
      <c r="BG59" s="208" t="s">
        <v>3206</v>
      </c>
      <c r="BH59" s="207" t="s">
        <v>3205</v>
      </c>
      <c r="BI59" s="206"/>
      <c r="BJ59" s="175"/>
      <c r="CL59" s="174">
        <v>45333</v>
      </c>
      <c r="CM59" s="173" t="s">
        <v>3198</v>
      </c>
      <c r="CO59" s="174">
        <v>46248</v>
      </c>
      <c r="CP59" s="173" t="s">
        <v>3203</v>
      </c>
    </row>
    <row r="60" spans="13:94">
      <c r="AO60" s="218">
        <v>44562</v>
      </c>
      <c r="AP60" s="169" t="s">
        <v>3238</v>
      </c>
      <c r="AQ60" s="217"/>
      <c r="AY60" s="185"/>
      <c r="AZ60" s="184"/>
      <c r="BA60" s="182"/>
      <c r="BB60" s="182" t="s">
        <v>3222</v>
      </c>
      <c r="BC60" s="207" t="s">
        <v>3234</v>
      </c>
      <c r="BD60" s="207"/>
      <c r="BE60" s="207" t="s">
        <v>3230</v>
      </c>
      <c r="BF60" s="208">
        <v>27</v>
      </c>
      <c r="BG60" s="208" t="s">
        <v>3206</v>
      </c>
      <c r="BH60" s="207" t="s">
        <v>3205</v>
      </c>
      <c r="BI60" s="206"/>
      <c r="BJ60" s="175"/>
      <c r="CL60" s="174">
        <v>45334</v>
      </c>
      <c r="CM60" s="173" t="s">
        <v>3201</v>
      </c>
      <c r="CO60" s="174">
        <v>46249</v>
      </c>
      <c r="CP60" s="173" t="s">
        <v>3203</v>
      </c>
    </row>
    <row r="61" spans="13:94">
      <c r="AO61" s="218">
        <v>44563</v>
      </c>
      <c r="AP61" s="169" t="s">
        <v>3238</v>
      </c>
      <c r="AQ61" s="217"/>
      <c r="AY61" s="185"/>
      <c r="AZ61" s="184"/>
      <c r="BA61" s="182"/>
      <c r="BB61" s="182"/>
      <c r="BC61" s="182" t="s">
        <v>3233</v>
      </c>
      <c r="BD61" s="207" t="s">
        <v>3232</v>
      </c>
      <c r="BE61" s="207" t="s">
        <v>3230</v>
      </c>
      <c r="BF61" s="208">
        <v>23</v>
      </c>
      <c r="BG61" s="208" t="s">
        <v>3206</v>
      </c>
      <c r="BH61" s="207" t="s">
        <v>3205</v>
      </c>
      <c r="BI61" s="206"/>
      <c r="BJ61" s="175"/>
      <c r="CL61" s="174">
        <v>45345</v>
      </c>
      <c r="CM61" s="173" t="s">
        <v>3197</v>
      </c>
      <c r="CO61" s="174">
        <v>46250</v>
      </c>
      <c r="CP61" s="173" t="s">
        <v>3203</v>
      </c>
    </row>
    <row r="62" spans="13:94">
      <c r="AO62" s="218">
        <v>44564</v>
      </c>
      <c r="AP62" s="169" t="s">
        <v>3238</v>
      </c>
      <c r="AQ62" s="217"/>
      <c r="AY62" s="185"/>
      <c r="AZ62" s="184"/>
      <c r="BA62" s="182"/>
      <c r="BB62" s="182"/>
      <c r="BC62" s="182"/>
      <c r="BD62" s="182" t="s">
        <v>3231</v>
      </c>
      <c r="BE62" s="182" t="s">
        <v>3230</v>
      </c>
      <c r="BF62" s="183">
        <v>27</v>
      </c>
      <c r="BG62" s="183" t="s">
        <v>3206</v>
      </c>
      <c r="BH62" s="182" t="s">
        <v>3205</v>
      </c>
      <c r="BI62" s="181"/>
      <c r="BJ62" s="175"/>
      <c r="CL62" s="174">
        <v>45371</v>
      </c>
      <c r="CM62" s="173" t="s">
        <v>3196</v>
      </c>
      <c r="CO62" s="174">
        <v>46385</v>
      </c>
      <c r="CP62" s="173" t="s">
        <v>3202</v>
      </c>
    </row>
    <row r="63" spans="13:94">
      <c r="AO63" s="216"/>
      <c r="AP63" s="215"/>
      <c r="AQ63" s="214"/>
      <c r="AY63" s="180"/>
      <c r="AZ63" s="179"/>
      <c r="BA63" s="177"/>
      <c r="BB63" s="177"/>
      <c r="BC63" s="177"/>
      <c r="BD63" s="177"/>
      <c r="BE63" s="177"/>
      <c r="BF63" s="178"/>
      <c r="BG63" s="178"/>
      <c r="BH63" s="177"/>
      <c r="BI63" s="176"/>
      <c r="BJ63" s="175"/>
      <c r="CL63" s="174">
        <v>45411</v>
      </c>
      <c r="CM63" s="173" t="s">
        <v>3195</v>
      </c>
      <c r="CO63" s="174">
        <v>46386</v>
      </c>
      <c r="CP63" s="173" t="s">
        <v>3202</v>
      </c>
    </row>
    <row r="64" spans="13:94">
      <c r="AY64" s="185"/>
      <c r="AZ64" s="184" t="s">
        <v>3237</v>
      </c>
      <c r="BA64" s="182" t="s">
        <v>3236</v>
      </c>
      <c r="BB64" s="207" t="s">
        <v>3224</v>
      </c>
      <c r="BC64" s="207"/>
      <c r="BD64" s="207"/>
      <c r="BE64" s="207" t="s">
        <v>3235</v>
      </c>
      <c r="BF64" s="208">
        <v>10</v>
      </c>
      <c r="BG64" s="208" t="s">
        <v>3206</v>
      </c>
      <c r="BH64" s="207" t="s">
        <v>3205</v>
      </c>
      <c r="BI64" s="206"/>
      <c r="BJ64" s="175"/>
      <c r="CL64" s="174">
        <v>45415</v>
      </c>
      <c r="CM64" s="173" t="s">
        <v>3194</v>
      </c>
      <c r="CO64" s="174">
        <v>46387</v>
      </c>
      <c r="CP64" s="173" t="s">
        <v>3202</v>
      </c>
    </row>
    <row r="65" spans="51:94">
      <c r="AY65" s="185"/>
      <c r="AZ65" s="184"/>
      <c r="BA65" s="182"/>
      <c r="BB65" s="182" t="s">
        <v>3222</v>
      </c>
      <c r="BC65" s="207" t="s">
        <v>3234</v>
      </c>
      <c r="BD65" s="207"/>
      <c r="BE65" s="207" t="s">
        <v>3230</v>
      </c>
      <c r="BF65" s="208">
        <v>27</v>
      </c>
      <c r="BG65" s="208" t="s">
        <v>3206</v>
      </c>
      <c r="BH65" s="207" t="s">
        <v>3205</v>
      </c>
      <c r="BI65" s="206"/>
      <c r="BJ65" s="175"/>
      <c r="CL65" s="174">
        <v>45416</v>
      </c>
      <c r="CM65" s="173" t="s">
        <v>3193</v>
      </c>
      <c r="CO65" s="174">
        <v>46388</v>
      </c>
      <c r="CP65" s="173" t="s">
        <v>3202</v>
      </c>
    </row>
    <row r="66" spans="51:94">
      <c r="AY66" s="185"/>
      <c r="AZ66" s="184"/>
      <c r="BA66" s="182"/>
      <c r="BB66" s="182"/>
      <c r="BC66" s="182" t="s">
        <v>3233</v>
      </c>
      <c r="BD66" s="207" t="s">
        <v>3232</v>
      </c>
      <c r="BE66" s="207" t="s">
        <v>3230</v>
      </c>
      <c r="BF66" s="208">
        <v>23</v>
      </c>
      <c r="BG66" s="208" t="s">
        <v>3206</v>
      </c>
      <c r="BH66" s="207" t="s">
        <v>3205</v>
      </c>
      <c r="BI66" s="206"/>
      <c r="BJ66" s="175"/>
      <c r="CL66" s="174">
        <v>45417</v>
      </c>
      <c r="CM66" s="173" t="s">
        <v>3192</v>
      </c>
      <c r="CO66" s="174">
        <v>46389</v>
      </c>
      <c r="CP66" s="173" t="s">
        <v>3202</v>
      </c>
    </row>
    <row r="67" spans="51:94">
      <c r="AY67" s="185"/>
      <c r="AZ67" s="184"/>
      <c r="BA67" s="182"/>
      <c r="BB67" s="182"/>
      <c r="BC67" s="182"/>
      <c r="BD67" s="182" t="s">
        <v>3231</v>
      </c>
      <c r="BE67" s="182" t="s">
        <v>3230</v>
      </c>
      <c r="BF67" s="183">
        <v>27</v>
      </c>
      <c r="BG67" s="183" t="s">
        <v>3206</v>
      </c>
      <c r="BH67" s="182" t="s">
        <v>3205</v>
      </c>
      <c r="BI67" s="181"/>
      <c r="BJ67" s="175"/>
      <c r="CL67" s="174">
        <v>45418</v>
      </c>
      <c r="CM67" s="173" t="s">
        <v>3201</v>
      </c>
      <c r="CO67" s="174">
        <v>46390</v>
      </c>
      <c r="CP67" s="173" t="s">
        <v>3202</v>
      </c>
    </row>
    <row r="68" spans="51:94">
      <c r="AY68" s="180"/>
      <c r="AZ68" s="179"/>
      <c r="BA68" s="177"/>
      <c r="BB68" s="177"/>
      <c r="BC68" s="177"/>
      <c r="BD68" s="177"/>
      <c r="BE68" s="177"/>
      <c r="BF68" s="178"/>
      <c r="BG68" s="178"/>
      <c r="BH68" s="177"/>
      <c r="BI68" s="176"/>
      <c r="BJ68" s="175"/>
      <c r="CL68" s="174">
        <v>45488</v>
      </c>
      <c r="CM68" s="173" t="s">
        <v>3191</v>
      </c>
      <c r="CO68" s="174">
        <v>46391</v>
      </c>
      <c r="CP68" s="173" t="s">
        <v>3202</v>
      </c>
    </row>
    <row r="69" spans="51:94">
      <c r="AY69" s="185"/>
      <c r="AZ69" s="184" t="s">
        <v>3229</v>
      </c>
      <c r="BA69" s="182"/>
      <c r="BB69" s="182"/>
      <c r="BC69" s="182"/>
      <c r="BD69" s="182"/>
      <c r="BE69" s="182" t="s">
        <v>3228</v>
      </c>
      <c r="BF69" s="183">
        <v>12</v>
      </c>
      <c r="BG69" s="183" t="s">
        <v>3206</v>
      </c>
      <c r="BH69" s="182" t="s">
        <v>3205</v>
      </c>
      <c r="BI69" s="181"/>
      <c r="BJ69" s="175"/>
      <c r="CL69" s="174">
        <v>45515</v>
      </c>
      <c r="CM69" s="173" t="s">
        <v>3190</v>
      </c>
      <c r="CO69" s="174">
        <v>46392</v>
      </c>
      <c r="CP69" s="173" t="s">
        <v>3202</v>
      </c>
    </row>
    <row r="70" spans="51:94">
      <c r="AY70" s="180"/>
      <c r="AZ70" s="179"/>
      <c r="BA70" s="177"/>
      <c r="BB70" s="177"/>
      <c r="BC70" s="177"/>
      <c r="BD70" s="177"/>
      <c r="BE70" s="177"/>
      <c r="BF70" s="178"/>
      <c r="BG70" s="178"/>
      <c r="BH70" s="177"/>
      <c r="BI70" s="176"/>
      <c r="BJ70" s="175"/>
      <c r="CL70" s="174">
        <v>45516</v>
      </c>
      <c r="CM70" s="173" t="s">
        <v>3201</v>
      </c>
      <c r="CO70" s="174">
        <v>46612</v>
      </c>
      <c r="CP70" s="173" t="s">
        <v>3203</v>
      </c>
    </row>
    <row r="71" spans="51:94">
      <c r="AY71" s="185"/>
      <c r="AZ71" s="184" t="s">
        <v>3227</v>
      </c>
      <c r="BA71" s="182"/>
      <c r="BB71" s="182"/>
      <c r="BC71" s="182"/>
      <c r="BD71" s="182"/>
      <c r="BE71" s="182" t="s">
        <v>3216</v>
      </c>
      <c r="BF71" s="183"/>
      <c r="BG71" s="183"/>
      <c r="BH71" s="182"/>
      <c r="BI71" s="181"/>
      <c r="BJ71" s="175"/>
      <c r="CL71" s="174">
        <v>45517</v>
      </c>
      <c r="CM71" s="173" t="s">
        <v>3203</v>
      </c>
      <c r="CO71" s="174">
        <v>46613</v>
      </c>
      <c r="CP71" s="173" t="s">
        <v>3203</v>
      </c>
    </row>
    <row r="72" spans="51:94">
      <c r="AY72" s="180"/>
      <c r="AZ72" s="179"/>
      <c r="BA72" s="177"/>
      <c r="BB72" s="177"/>
      <c r="BC72" s="177"/>
      <c r="BD72" s="177"/>
      <c r="BE72" s="177"/>
      <c r="BF72" s="178"/>
      <c r="BG72" s="178"/>
      <c r="BH72" s="177"/>
      <c r="BI72" s="176"/>
      <c r="BJ72" s="175"/>
      <c r="CL72" s="174">
        <v>45518</v>
      </c>
      <c r="CM72" s="173" t="s">
        <v>3203</v>
      </c>
      <c r="CO72" s="174">
        <v>46614</v>
      </c>
      <c r="CP72" s="173" t="s">
        <v>3203</v>
      </c>
    </row>
    <row r="73" spans="51:94">
      <c r="AY73" s="185"/>
      <c r="AZ73" s="184" t="s">
        <v>3209</v>
      </c>
      <c r="BA73" s="207" t="s">
        <v>3215</v>
      </c>
      <c r="BB73" s="207"/>
      <c r="BC73" s="207"/>
      <c r="BD73" s="207"/>
      <c r="BE73" s="212" t="s">
        <v>3226</v>
      </c>
      <c r="BF73" s="213" t="s">
        <v>3226</v>
      </c>
      <c r="BG73" s="213" t="s">
        <v>3226</v>
      </c>
      <c r="BH73" s="212" t="s">
        <v>3226</v>
      </c>
      <c r="BI73" s="211" t="s">
        <v>3225</v>
      </c>
      <c r="BJ73" s="175"/>
      <c r="CL73" s="174">
        <v>45519</v>
      </c>
      <c r="CM73" s="173" t="s">
        <v>3203</v>
      </c>
      <c r="CO73" s="174">
        <v>46615</v>
      </c>
      <c r="CP73" s="173" t="s">
        <v>3203</v>
      </c>
    </row>
    <row r="74" spans="51:94">
      <c r="AY74" s="185"/>
      <c r="AZ74" s="184"/>
      <c r="BA74" s="210" t="s">
        <v>3210</v>
      </c>
      <c r="BB74" s="210"/>
      <c r="BC74" s="207" t="s">
        <v>3224</v>
      </c>
      <c r="BD74" s="207"/>
      <c r="BE74" s="207" t="s">
        <v>3223</v>
      </c>
      <c r="BF74" s="209">
        <v>12</v>
      </c>
      <c r="BG74" s="208" t="s">
        <v>3206</v>
      </c>
      <c r="BH74" s="207" t="s">
        <v>3205</v>
      </c>
      <c r="BI74" s="206"/>
      <c r="BJ74" s="175"/>
      <c r="CL74" s="174">
        <v>45520</v>
      </c>
      <c r="CM74" s="173" t="s">
        <v>3203</v>
      </c>
      <c r="CO74" s="174">
        <v>46750</v>
      </c>
      <c r="CP74" s="173" t="s">
        <v>3202</v>
      </c>
    </row>
    <row r="75" spans="51:94">
      <c r="AY75" s="185"/>
      <c r="AZ75" s="184"/>
      <c r="BA75" s="182"/>
      <c r="BB75" s="182"/>
      <c r="BC75" s="182" t="s">
        <v>3222</v>
      </c>
      <c r="BD75" s="207" t="s">
        <v>3213</v>
      </c>
      <c r="BE75" s="207" t="s">
        <v>3212</v>
      </c>
      <c r="BF75" s="208">
        <v>4</v>
      </c>
      <c r="BG75" s="208" t="s">
        <v>3206</v>
      </c>
      <c r="BH75" s="207" t="s">
        <v>3205</v>
      </c>
      <c r="BI75" s="206"/>
      <c r="BJ75" s="175"/>
      <c r="CL75" s="174">
        <v>45551</v>
      </c>
      <c r="CM75" s="173" t="s">
        <v>3189</v>
      </c>
      <c r="CO75" s="174">
        <v>46751</v>
      </c>
      <c r="CP75" s="173" t="s">
        <v>3202</v>
      </c>
    </row>
    <row r="76" spans="51:94">
      <c r="AY76" s="185"/>
      <c r="AZ76" s="184"/>
      <c r="BA76" s="182"/>
      <c r="BB76" s="182"/>
      <c r="BC76" s="182"/>
      <c r="BD76" s="182" t="s">
        <v>3214</v>
      </c>
      <c r="BE76" s="182" t="s">
        <v>3207</v>
      </c>
      <c r="BF76" s="183">
        <v>1</v>
      </c>
      <c r="BG76" s="183" t="s">
        <v>3206</v>
      </c>
      <c r="BH76" s="182" t="s">
        <v>3205</v>
      </c>
      <c r="BI76" s="931" t="s">
        <v>3221</v>
      </c>
      <c r="BJ76" s="175"/>
      <c r="CL76" s="174">
        <v>45557</v>
      </c>
      <c r="CM76" s="173" t="s">
        <v>3187</v>
      </c>
      <c r="CO76" s="174">
        <v>46752</v>
      </c>
      <c r="CP76" s="173" t="s">
        <v>3202</v>
      </c>
    </row>
    <row r="77" spans="51:94">
      <c r="AY77" s="185"/>
      <c r="AZ77" s="184"/>
      <c r="BA77" s="182"/>
      <c r="BB77" s="182"/>
      <c r="BC77" s="182"/>
      <c r="BD77" s="182"/>
      <c r="BE77" s="182" t="s">
        <v>3220</v>
      </c>
      <c r="BF77" s="183">
        <v>2</v>
      </c>
      <c r="BG77" s="183" t="s">
        <v>3219</v>
      </c>
      <c r="BH77" s="182" t="s">
        <v>3218</v>
      </c>
      <c r="BI77" s="932"/>
      <c r="BJ77" s="175" t="s">
        <v>3217</v>
      </c>
      <c r="CL77" s="174">
        <v>45558</v>
      </c>
      <c r="CM77" s="173" t="s">
        <v>3201</v>
      </c>
      <c r="CO77" s="174">
        <v>46753</v>
      </c>
      <c r="CP77" s="173" t="s">
        <v>3202</v>
      </c>
    </row>
    <row r="78" spans="51:94">
      <c r="AY78" s="180"/>
      <c r="AZ78" s="179"/>
      <c r="BA78" s="177"/>
      <c r="BB78" s="177"/>
      <c r="BC78" s="177"/>
      <c r="BD78" s="177"/>
      <c r="BE78" s="177"/>
      <c r="BF78" s="178"/>
      <c r="BG78" s="178"/>
      <c r="BH78" s="177"/>
      <c r="BI78" s="176"/>
      <c r="BJ78" s="175"/>
      <c r="CL78" s="174">
        <v>45579</v>
      </c>
      <c r="CM78" s="173" t="s">
        <v>3186</v>
      </c>
      <c r="CO78" s="174">
        <v>46754</v>
      </c>
      <c r="CP78" s="173" t="s">
        <v>3202</v>
      </c>
    </row>
    <row r="79" spans="51:94">
      <c r="AY79" s="185"/>
      <c r="AZ79" s="184" t="s">
        <v>3216</v>
      </c>
      <c r="BA79" s="182" t="s">
        <v>3215</v>
      </c>
      <c r="BB79" s="182" t="s">
        <v>3214</v>
      </c>
      <c r="BC79" s="182"/>
      <c r="BD79" s="189"/>
      <c r="BE79" s="204" t="s">
        <v>3207</v>
      </c>
      <c r="BF79" s="203">
        <v>10</v>
      </c>
      <c r="BG79" s="203" t="s">
        <v>3206</v>
      </c>
      <c r="BH79" s="202" t="s">
        <v>3205</v>
      </c>
      <c r="BI79" s="933" t="s">
        <v>3208</v>
      </c>
      <c r="BJ79" s="175"/>
      <c r="CL79" s="174">
        <v>45599</v>
      </c>
      <c r="CM79" s="173" t="s">
        <v>3185</v>
      </c>
      <c r="CO79" s="174">
        <v>46755</v>
      </c>
      <c r="CP79" s="173" t="s">
        <v>3202</v>
      </c>
    </row>
    <row r="80" spans="51:94">
      <c r="AY80" s="185"/>
      <c r="AZ80" s="184"/>
      <c r="BA80" s="182"/>
      <c r="BB80" s="182"/>
      <c r="BC80" s="182"/>
      <c r="BD80" s="189"/>
      <c r="BE80" s="201" t="s">
        <v>3204</v>
      </c>
      <c r="BF80" s="200"/>
      <c r="BG80" s="200"/>
      <c r="BH80" s="199"/>
      <c r="BI80" s="934"/>
      <c r="BJ80" s="175"/>
      <c r="CL80" s="174">
        <v>45600</v>
      </c>
      <c r="CM80" s="173" t="s">
        <v>3201</v>
      </c>
      <c r="CO80" s="174">
        <v>46756</v>
      </c>
      <c r="CP80" s="173" t="s">
        <v>3202</v>
      </c>
    </row>
    <row r="81" spans="51:94">
      <c r="AY81" s="185"/>
      <c r="AZ81" s="184"/>
      <c r="BA81" s="182"/>
      <c r="BB81" s="182"/>
      <c r="BC81" s="182"/>
      <c r="BD81" s="189"/>
      <c r="BE81" s="198" t="s">
        <v>3211</v>
      </c>
      <c r="BF81" s="197">
        <v>7</v>
      </c>
      <c r="BG81" s="197" t="s">
        <v>3206</v>
      </c>
      <c r="BH81" s="196" t="s">
        <v>3205</v>
      </c>
      <c r="BI81" s="935"/>
      <c r="BJ81" s="175"/>
      <c r="CL81" s="174">
        <v>45619</v>
      </c>
      <c r="CM81" s="173" t="s">
        <v>3184</v>
      </c>
      <c r="CO81" s="174">
        <v>46757</v>
      </c>
      <c r="CP81" s="173" t="s">
        <v>3202</v>
      </c>
    </row>
    <row r="82" spans="51:94">
      <c r="AY82" s="185"/>
      <c r="AZ82" s="184"/>
      <c r="BA82" s="182"/>
      <c r="BB82" s="177"/>
      <c r="BC82" s="177"/>
      <c r="BD82" s="177"/>
      <c r="BE82" s="177"/>
      <c r="BF82" s="178"/>
      <c r="BG82" s="178"/>
      <c r="BH82" s="177"/>
      <c r="BI82" s="205"/>
      <c r="BJ82" s="175"/>
      <c r="CL82" s="174">
        <v>45655</v>
      </c>
      <c r="CM82" s="173" t="s">
        <v>3202</v>
      </c>
      <c r="CO82" s="174">
        <v>46978</v>
      </c>
      <c r="CP82" s="173" t="s">
        <v>3203</v>
      </c>
    </row>
    <row r="83" spans="51:94">
      <c r="AY83" s="185"/>
      <c r="AZ83" s="184"/>
      <c r="BA83" s="182"/>
      <c r="BB83" s="182" t="s">
        <v>3213</v>
      </c>
      <c r="BC83" s="182"/>
      <c r="BD83" s="189"/>
      <c r="BE83" s="204" t="s">
        <v>3207</v>
      </c>
      <c r="BF83" s="203">
        <v>10</v>
      </c>
      <c r="BG83" s="203" t="s">
        <v>3206</v>
      </c>
      <c r="BH83" s="202" t="s">
        <v>3205</v>
      </c>
      <c r="BI83" s="924" t="s">
        <v>3208</v>
      </c>
      <c r="BJ83" s="175"/>
      <c r="CL83" s="174">
        <v>45656</v>
      </c>
      <c r="CM83" s="173" t="s">
        <v>3202</v>
      </c>
      <c r="CO83" s="174">
        <v>46979</v>
      </c>
      <c r="CP83" s="173" t="s">
        <v>3203</v>
      </c>
    </row>
    <row r="84" spans="51:94">
      <c r="AY84" s="185"/>
      <c r="AZ84" s="184"/>
      <c r="BA84" s="182"/>
      <c r="BB84" s="182"/>
      <c r="BC84" s="182"/>
      <c r="BD84" s="189"/>
      <c r="BE84" s="201" t="s">
        <v>3212</v>
      </c>
      <c r="BF84" s="200">
        <v>10</v>
      </c>
      <c r="BG84" s="200" t="s">
        <v>3206</v>
      </c>
      <c r="BH84" s="199" t="s">
        <v>3205</v>
      </c>
      <c r="BI84" s="925"/>
      <c r="BJ84" s="175"/>
      <c r="CL84" s="174">
        <v>45657</v>
      </c>
      <c r="CM84" s="173" t="s">
        <v>3202</v>
      </c>
      <c r="CO84" s="174">
        <v>46980</v>
      </c>
      <c r="CP84" s="173" t="s">
        <v>3203</v>
      </c>
    </row>
    <row r="85" spans="51:94">
      <c r="AY85" s="185"/>
      <c r="AZ85" s="184"/>
      <c r="BA85" s="182"/>
      <c r="BB85" s="182"/>
      <c r="BC85" s="182"/>
      <c r="BD85" s="189"/>
      <c r="BE85" s="201" t="s">
        <v>3204</v>
      </c>
      <c r="BF85" s="200"/>
      <c r="BG85" s="200"/>
      <c r="BH85" s="199"/>
      <c r="BI85" s="925"/>
      <c r="BJ85" s="175"/>
      <c r="CL85" s="174">
        <v>45658</v>
      </c>
      <c r="CM85" s="173" t="s">
        <v>3200</v>
      </c>
      <c r="CO85" s="174">
        <v>46981</v>
      </c>
      <c r="CP85" s="173" t="s">
        <v>3203</v>
      </c>
    </row>
    <row r="86" spans="51:94">
      <c r="AY86" s="185"/>
      <c r="AZ86" s="184"/>
      <c r="BA86" s="182"/>
      <c r="BB86" s="182"/>
      <c r="BC86" s="182"/>
      <c r="BD86" s="189"/>
      <c r="BE86" s="198" t="s">
        <v>3211</v>
      </c>
      <c r="BF86" s="197">
        <v>7</v>
      </c>
      <c r="BG86" s="197" t="s">
        <v>3206</v>
      </c>
      <c r="BH86" s="196" t="s">
        <v>3205</v>
      </c>
      <c r="BI86" s="926"/>
      <c r="BJ86" s="175"/>
      <c r="CL86" s="174">
        <v>45659</v>
      </c>
      <c r="CM86" s="173" t="s">
        <v>3202</v>
      </c>
      <c r="CO86" s="174">
        <v>47116</v>
      </c>
      <c r="CP86" s="173" t="s">
        <v>3202</v>
      </c>
    </row>
    <row r="87" spans="51:94">
      <c r="AY87" s="185"/>
      <c r="AZ87" s="184"/>
      <c r="BA87" s="177"/>
      <c r="BB87" s="177"/>
      <c r="BC87" s="177"/>
      <c r="BD87" s="177"/>
      <c r="BE87" s="177"/>
      <c r="BF87" s="178"/>
      <c r="BG87" s="178"/>
      <c r="BH87" s="177"/>
      <c r="BI87" s="176"/>
      <c r="BJ87" s="175"/>
      <c r="CL87" s="174">
        <v>45660</v>
      </c>
      <c r="CM87" s="173" t="s">
        <v>3202</v>
      </c>
      <c r="CO87" s="174">
        <v>47117</v>
      </c>
      <c r="CP87" s="173" t="s">
        <v>3202</v>
      </c>
    </row>
    <row r="88" spans="51:94">
      <c r="AY88" s="185"/>
      <c r="AZ88" s="184"/>
      <c r="BA88" s="182" t="s">
        <v>3210</v>
      </c>
      <c r="BB88" s="182"/>
      <c r="BC88" s="182"/>
      <c r="BD88" s="189"/>
      <c r="BE88" s="195" t="s">
        <v>3209</v>
      </c>
      <c r="BF88" s="194">
        <v>5</v>
      </c>
      <c r="BG88" s="194" t="s">
        <v>3206</v>
      </c>
      <c r="BH88" s="193" t="s">
        <v>3205</v>
      </c>
      <c r="BI88" s="927" t="s">
        <v>3208</v>
      </c>
      <c r="BJ88" s="175"/>
      <c r="CL88" s="174">
        <v>45670</v>
      </c>
      <c r="CM88" s="173" t="s">
        <v>3199</v>
      </c>
      <c r="CO88" s="174">
        <v>47118</v>
      </c>
      <c r="CP88" s="173" t="s">
        <v>3202</v>
      </c>
    </row>
    <row r="89" spans="51:94">
      <c r="AY89" s="185"/>
      <c r="AZ89" s="184"/>
      <c r="BA89" s="182"/>
      <c r="BB89" s="182"/>
      <c r="BC89" s="182"/>
      <c r="BD89" s="189"/>
      <c r="BE89" s="192" t="s">
        <v>3207</v>
      </c>
      <c r="BF89" s="191">
        <v>10</v>
      </c>
      <c r="BG89" s="191" t="s">
        <v>3206</v>
      </c>
      <c r="BH89" s="190" t="s">
        <v>3205</v>
      </c>
      <c r="BI89" s="910"/>
      <c r="BJ89" s="175"/>
      <c r="CL89" s="174">
        <v>45699</v>
      </c>
      <c r="CM89" s="173" t="s">
        <v>3198</v>
      </c>
      <c r="CO89" s="174">
        <v>47119</v>
      </c>
      <c r="CP89" s="173" t="s">
        <v>3202</v>
      </c>
    </row>
    <row r="90" spans="51:94">
      <c r="AY90" s="185"/>
      <c r="AZ90" s="184"/>
      <c r="BA90" s="182"/>
      <c r="BB90" s="182"/>
      <c r="BC90" s="182"/>
      <c r="BD90" s="189"/>
      <c r="BE90" s="188" t="s">
        <v>3204</v>
      </c>
      <c r="BF90" s="187"/>
      <c r="BG90" s="187"/>
      <c r="BH90" s="186"/>
      <c r="BI90" s="911"/>
      <c r="BJ90" s="175"/>
      <c r="CL90" s="174">
        <v>45711</v>
      </c>
      <c r="CM90" s="173" t="s">
        <v>3197</v>
      </c>
      <c r="CO90" s="174">
        <v>47120</v>
      </c>
      <c r="CP90" s="173" t="s">
        <v>3202</v>
      </c>
    </row>
    <row r="91" spans="51:94">
      <c r="AY91" s="185"/>
      <c r="AZ91" s="184"/>
      <c r="BA91" s="182"/>
      <c r="BB91" s="182"/>
      <c r="BC91" s="182"/>
      <c r="BD91" s="182"/>
      <c r="BE91" s="182"/>
      <c r="BF91" s="183"/>
      <c r="BG91" s="183"/>
      <c r="BH91" s="182"/>
      <c r="BI91" s="181"/>
      <c r="BJ91" s="175"/>
      <c r="CL91" s="174">
        <v>45712</v>
      </c>
      <c r="CM91" s="173" t="s">
        <v>3201</v>
      </c>
      <c r="CO91" s="174">
        <v>47121</v>
      </c>
      <c r="CP91" s="173" t="s">
        <v>3202</v>
      </c>
    </row>
    <row r="92" spans="51:94">
      <c r="AY92" s="185"/>
      <c r="AZ92" s="184"/>
      <c r="BA92" s="182"/>
      <c r="BB92" s="182"/>
      <c r="BC92" s="182"/>
      <c r="BD92" s="182"/>
      <c r="BE92" s="182"/>
      <c r="BF92" s="183"/>
      <c r="BG92" s="183"/>
      <c r="BH92" s="182"/>
      <c r="BI92" s="181"/>
      <c r="BJ92" s="175"/>
      <c r="CL92" s="174">
        <v>45736</v>
      </c>
      <c r="CM92" s="173" t="s">
        <v>3196</v>
      </c>
      <c r="CO92" s="174">
        <v>47122</v>
      </c>
      <c r="CP92" s="173" t="s">
        <v>3202</v>
      </c>
    </row>
    <row r="93" spans="51:94">
      <c r="AY93" s="185"/>
      <c r="AZ93" s="184"/>
      <c r="BA93" s="182"/>
      <c r="BB93" s="182"/>
      <c r="BC93" s="182"/>
      <c r="BD93" s="182"/>
      <c r="BE93" s="182"/>
      <c r="BF93" s="183"/>
      <c r="BG93" s="183"/>
      <c r="BH93" s="182"/>
      <c r="BI93" s="181"/>
      <c r="BJ93" s="175"/>
      <c r="CL93" s="174">
        <v>45776</v>
      </c>
      <c r="CM93" s="173" t="s">
        <v>3195</v>
      </c>
      <c r="CO93" s="174">
        <v>47123</v>
      </c>
      <c r="CP93" s="173" t="s">
        <v>3202</v>
      </c>
    </row>
    <row r="94" spans="51:94">
      <c r="AY94" s="185"/>
      <c r="AZ94" s="184"/>
      <c r="BA94" s="182"/>
      <c r="BB94" s="182"/>
      <c r="BC94" s="182"/>
      <c r="BD94" s="182"/>
      <c r="BE94" s="182"/>
      <c r="BF94" s="183"/>
      <c r="BG94" s="183"/>
      <c r="BH94" s="182"/>
      <c r="BI94" s="181"/>
      <c r="BJ94" s="175"/>
      <c r="CL94" s="174">
        <v>45780</v>
      </c>
      <c r="CM94" s="173" t="s">
        <v>3194</v>
      </c>
      <c r="CO94" s="174">
        <v>47343</v>
      </c>
      <c r="CP94" s="173" t="s">
        <v>3203</v>
      </c>
    </row>
    <row r="95" spans="51:94">
      <c r="AY95" s="185"/>
      <c r="AZ95" s="184"/>
      <c r="BA95" s="182"/>
      <c r="BB95" s="182"/>
      <c r="BC95" s="182"/>
      <c r="BD95" s="182"/>
      <c r="BE95" s="182"/>
      <c r="BF95" s="183"/>
      <c r="BG95" s="183"/>
      <c r="BH95" s="182"/>
      <c r="BI95" s="181"/>
      <c r="BJ95" s="175"/>
      <c r="CL95" s="174">
        <v>45781</v>
      </c>
      <c r="CM95" s="173" t="s">
        <v>3193</v>
      </c>
      <c r="CO95" s="174">
        <v>47344</v>
      </c>
      <c r="CP95" s="173" t="s">
        <v>3203</v>
      </c>
    </row>
    <row r="96" spans="51:94">
      <c r="AY96" s="185"/>
      <c r="AZ96" s="184"/>
      <c r="BA96" s="182"/>
      <c r="BB96" s="182"/>
      <c r="BC96" s="182"/>
      <c r="BD96" s="182"/>
      <c r="BE96" s="182"/>
      <c r="BF96" s="183"/>
      <c r="BG96" s="183"/>
      <c r="BH96" s="182"/>
      <c r="BI96" s="181"/>
      <c r="BJ96" s="175"/>
      <c r="CL96" s="174">
        <v>45782</v>
      </c>
      <c r="CM96" s="173" t="s">
        <v>3192</v>
      </c>
      <c r="CO96" s="174">
        <v>47345</v>
      </c>
      <c r="CP96" s="173" t="s">
        <v>3203</v>
      </c>
    </row>
    <row r="97" spans="51:94">
      <c r="AY97" s="185"/>
      <c r="AZ97" s="184"/>
      <c r="BA97" s="182"/>
      <c r="BB97" s="182"/>
      <c r="BC97" s="182"/>
      <c r="BD97" s="182"/>
      <c r="BE97" s="182"/>
      <c r="BF97" s="183"/>
      <c r="BG97" s="183"/>
      <c r="BH97" s="182"/>
      <c r="BI97" s="181"/>
      <c r="BJ97" s="175"/>
      <c r="CL97" s="174">
        <v>45783</v>
      </c>
      <c r="CM97" s="173" t="s">
        <v>3201</v>
      </c>
      <c r="CO97" s="174">
        <v>47346</v>
      </c>
      <c r="CP97" s="173" t="s">
        <v>3203</v>
      </c>
    </row>
    <row r="98" spans="51:94">
      <c r="AY98" s="185"/>
      <c r="AZ98" s="184"/>
      <c r="BA98" s="182"/>
      <c r="BB98" s="182"/>
      <c r="BC98" s="182"/>
      <c r="BD98" s="182"/>
      <c r="BE98" s="182"/>
      <c r="BF98" s="183"/>
      <c r="BG98" s="183"/>
      <c r="BH98" s="182"/>
      <c r="BI98" s="181"/>
      <c r="BJ98" s="175"/>
      <c r="CL98" s="174">
        <v>45859</v>
      </c>
      <c r="CM98" s="173" t="s">
        <v>3191</v>
      </c>
      <c r="CO98" s="174">
        <v>47481</v>
      </c>
      <c r="CP98" s="173" t="s">
        <v>3202</v>
      </c>
    </row>
    <row r="99" spans="51:94">
      <c r="AY99" s="185"/>
      <c r="AZ99" s="184"/>
      <c r="BA99" s="182"/>
      <c r="BB99" s="182"/>
      <c r="BC99" s="182"/>
      <c r="BD99" s="182"/>
      <c r="BE99" s="182"/>
      <c r="BF99" s="183"/>
      <c r="BG99" s="183"/>
      <c r="BH99" s="182"/>
      <c r="BI99" s="181"/>
      <c r="BJ99" s="175"/>
      <c r="CL99" s="174">
        <v>45880</v>
      </c>
      <c r="CM99" s="173" t="s">
        <v>3190</v>
      </c>
      <c r="CO99" s="174">
        <v>47482</v>
      </c>
      <c r="CP99" s="173" t="s">
        <v>3202</v>
      </c>
    </row>
    <row r="100" spans="51:94">
      <c r="AY100" s="185"/>
      <c r="AZ100" s="184"/>
      <c r="BA100" s="182"/>
      <c r="BB100" s="182"/>
      <c r="BC100" s="182"/>
      <c r="BD100" s="182"/>
      <c r="BE100" s="182"/>
      <c r="BF100" s="183"/>
      <c r="BG100" s="183"/>
      <c r="BH100" s="182"/>
      <c r="BI100" s="181"/>
      <c r="BJ100" s="175"/>
      <c r="CL100" s="174">
        <v>45882</v>
      </c>
      <c r="CM100" s="173" t="s">
        <v>3203</v>
      </c>
      <c r="CO100" s="174">
        <v>47483</v>
      </c>
      <c r="CP100" s="173" t="s">
        <v>3202</v>
      </c>
    </row>
    <row r="101" spans="51:94">
      <c r="AY101" s="185"/>
      <c r="AZ101" s="184"/>
      <c r="BA101" s="182"/>
      <c r="BB101" s="182"/>
      <c r="BC101" s="182"/>
      <c r="BD101" s="182"/>
      <c r="BE101" s="182"/>
      <c r="BF101" s="183"/>
      <c r="BG101" s="183"/>
      <c r="BH101" s="182"/>
      <c r="BI101" s="181"/>
      <c r="BJ101" s="175"/>
      <c r="CL101" s="174">
        <v>45883</v>
      </c>
      <c r="CM101" s="173" t="s">
        <v>3203</v>
      </c>
      <c r="CO101" s="174">
        <v>47484</v>
      </c>
      <c r="CP101" s="173" t="s">
        <v>3202</v>
      </c>
    </row>
    <row r="102" spans="51:94">
      <c r="AY102" s="180"/>
      <c r="AZ102" s="179"/>
      <c r="BA102" s="177"/>
      <c r="BB102" s="177"/>
      <c r="BC102" s="177"/>
      <c r="BD102" s="177"/>
      <c r="BE102" s="177"/>
      <c r="BF102" s="178"/>
      <c r="BG102" s="178"/>
      <c r="BH102" s="177"/>
      <c r="BI102" s="176"/>
      <c r="BJ102" s="175"/>
      <c r="CL102" s="174">
        <v>45884</v>
      </c>
      <c r="CM102" s="173" t="s">
        <v>3203</v>
      </c>
      <c r="CO102" s="174">
        <v>47485</v>
      </c>
      <c r="CP102" s="173" t="s">
        <v>3202</v>
      </c>
    </row>
    <row r="103" spans="51:94">
      <c r="BJ103" s="175"/>
      <c r="CL103" s="174">
        <v>45885</v>
      </c>
      <c r="CM103" s="173" t="s">
        <v>3203</v>
      </c>
      <c r="CO103" s="174">
        <v>47486</v>
      </c>
      <c r="CP103" s="173" t="s">
        <v>3202</v>
      </c>
    </row>
    <row r="104" spans="51:94">
      <c r="BJ104" s="175"/>
      <c r="CL104" s="174">
        <v>45915</v>
      </c>
      <c r="CM104" s="173" t="s">
        <v>3189</v>
      </c>
      <c r="CO104" s="174">
        <v>47487</v>
      </c>
      <c r="CP104" s="173" t="s">
        <v>3202</v>
      </c>
    </row>
    <row r="105" spans="51:94">
      <c r="CL105" s="174">
        <v>45923</v>
      </c>
      <c r="CM105" s="173" t="s">
        <v>3187</v>
      </c>
      <c r="CO105" s="174">
        <v>47488</v>
      </c>
      <c r="CP105" s="173" t="s">
        <v>3202</v>
      </c>
    </row>
    <row r="106" spans="51:94">
      <c r="CL106" s="174">
        <v>45943</v>
      </c>
      <c r="CM106" s="173" t="s">
        <v>3186</v>
      </c>
      <c r="CO106" s="174">
        <v>47708</v>
      </c>
      <c r="CP106" s="173" t="s">
        <v>3203</v>
      </c>
    </row>
    <row r="107" spans="51:94">
      <c r="CL107" s="174">
        <v>45964</v>
      </c>
      <c r="CM107" s="173" t="s">
        <v>3185</v>
      </c>
      <c r="CO107" s="174">
        <v>47709</v>
      </c>
      <c r="CP107" s="173" t="s">
        <v>3203</v>
      </c>
    </row>
    <row r="108" spans="51:94">
      <c r="CL108" s="174">
        <v>45984</v>
      </c>
      <c r="CM108" s="173" t="s">
        <v>3184</v>
      </c>
      <c r="CO108" s="174">
        <v>47710</v>
      </c>
      <c r="CP108" s="173" t="s">
        <v>3203</v>
      </c>
    </row>
    <row r="109" spans="51:94">
      <c r="CL109" s="174">
        <v>45985</v>
      </c>
      <c r="CM109" s="173" t="s">
        <v>3201</v>
      </c>
      <c r="CO109" s="174">
        <v>47711</v>
      </c>
      <c r="CP109" s="173" t="s">
        <v>3203</v>
      </c>
    </row>
    <row r="110" spans="51:94">
      <c r="CL110" s="174">
        <v>46020</v>
      </c>
      <c r="CM110" s="173" t="s">
        <v>3202</v>
      </c>
      <c r="CO110" s="174">
        <v>47846</v>
      </c>
      <c r="CP110" s="173" t="s">
        <v>3202</v>
      </c>
    </row>
    <row r="111" spans="51:94">
      <c r="CL111" s="174">
        <v>46021</v>
      </c>
      <c r="CM111" s="173" t="s">
        <v>3202</v>
      </c>
      <c r="CO111" s="174">
        <v>47847</v>
      </c>
      <c r="CP111" s="173" t="s">
        <v>3202</v>
      </c>
    </row>
    <row r="112" spans="51:94">
      <c r="CL112" s="174">
        <v>46022</v>
      </c>
      <c r="CM112" s="173" t="s">
        <v>3202</v>
      </c>
      <c r="CO112" s="174">
        <v>47848</v>
      </c>
      <c r="CP112" s="173" t="s">
        <v>3202</v>
      </c>
    </row>
    <row r="113" spans="90:91">
      <c r="CL113" s="174">
        <v>46023</v>
      </c>
      <c r="CM113" s="173" t="s">
        <v>3200</v>
      </c>
    </row>
    <row r="114" spans="90:91">
      <c r="CL114" s="174">
        <v>46024</v>
      </c>
      <c r="CM114" s="173" t="s">
        <v>3202</v>
      </c>
    </row>
    <row r="115" spans="90:91">
      <c r="CL115" s="174">
        <v>46025</v>
      </c>
      <c r="CM115" s="173" t="s">
        <v>3202</v>
      </c>
    </row>
    <row r="116" spans="90:91">
      <c r="CL116" s="174">
        <v>46034</v>
      </c>
      <c r="CM116" s="173" t="s">
        <v>3199</v>
      </c>
    </row>
    <row r="117" spans="90:91">
      <c r="CL117" s="174">
        <v>46064</v>
      </c>
      <c r="CM117" s="173" t="s">
        <v>3198</v>
      </c>
    </row>
    <row r="118" spans="90:91">
      <c r="CL118" s="174">
        <v>46076</v>
      </c>
      <c r="CM118" s="173" t="s">
        <v>3197</v>
      </c>
    </row>
    <row r="119" spans="90:91">
      <c r="CL119" s="174">
        <v>46101</v>
      </c>
      <c r="CM119" s="173" t="s">
        <v>3196</v>
      </c>
    </row>
    <row r="120" spans="90:91">
      <c r="CL120" s="174">
        <v>46141</v>
      </c>
      <c r="CM120" s="173" t="s">
        <v>3195</v>
      </c>
    </row>
    <row r="121" spans="90:91">
      <c r="CL121" s="174">
        <v>46145</v>
      </c>
      <c r="CM121" s="173" t="s">
        <v>3194</v>
      </c>
    </row>
    <row r="122" spans="90:91">
      <c r="CL122" s="174">
        <v>46146</v>
      </c>
      <c r="CM122" s="173" t="s">
        <v>3193</v>
      </c>
    </row>
    <row r="123" spans="90:91">
      <c r="CL123" s="174">
        <v>46147</v>
      </c>
      <c r="CM123" s="173" t="s">
        <v>3192</v>
      </c>
    </row>
    <row r="124" spans="90:91">
      <c r="CL124" s="174">
        <v>46148</v>
      </c>
      <c r="CM124" s="173" t="s">
        <v>3201</v>
      </c>
    </row>
    <row r="125" spans="90:91">
      <c r="CL125" s="174">
        <v>46223</v>
      </c>
      <c r="CM125" s="173" t="s">
        <v>3191</v>
      </c>
    </row>
    <row r="126" spans="90:91">
      <c r="CL126" s="174">
        <v>46245</v>
      </c>
      <c r="CM126" s="173" t="s">
        <v>3190</v>
      </c>
    </row>
    <row r="127" spans="90:91">
      <c r="CL127" s="174">
        <v>46247</v>
      </c>
      <c r="CM127" s="173" t="s">
        <v>3203</v>
      </c>
    </row>
    <row r="128" spans="90:91">
      <c r="CL128" s="174">
        <v>46248</v>
      </c>
      <c r="CM128" s="173" t="s">
        <v>3203</v>
      </c>
    </row>
    <row r="129" spans="90:91">
      <c r="CL129" s="174">
        <v>46249</v>
      </c>
      <c r="CM129" s="173" t="s">
        <v>3203</v>
      </c>
    </row>
    <row r="130" spans="90:91">
      <c r="CL130" s="174">
        <v>46250</v>
      </c>
      <c r="CM130" s="173" t="s">
        <v>3203</v>
      </c>
    </row>
    <row r="131" spans="90:91">
      <c r="CL131" s="174">
        <v>46286</v>
      </c>
      <c r="CM131" s="173" t="s">
        <v>3189</v>
      </c>
    </row>
    <row r="132" spans="90:91">
      <c r="CL132" s="174">
        <v>46287</v>
      </c>
      <c r="CM132" s="173" t="s">
        <v>3188</v>
      </c>
    </row>
    <row r="133" spans="90:91">
      <c r="CL133" s="174">
        <v>46288</v>
      </c>
      <c r="CM133" s="173" t="s">
        <v>3187</v>
      </c>
    </row>
    <row r="134" spans="90:91">
      <c r="CL134" s="174">
        <v>46307</v>
      </c>
      <c r="CM134" s="173" t="s">
        <v>3186</v>
      </c>
    </row>
    <row r="135" spans="90:91">
      <c r="CL135" s="174">
        <v>46329</v>
      </c>
      <c r="CM135" s="173" t="s">
        <v>3185</v>
      </c>
    </row>
    <row r="136" spans="90:91">
      <c r="CL136" s="174">
        <v>46349</v>
      </c>
      <c r="CM136" s="173" t="s">
        <v>3184</v>
      </c>
    </row>
    <row r="137" spans="90:91">
      <c r="CL137" s="174">
        <v>46385</v>
      </c>
      <c r="CM137" s="173" t="s">
        <v>3202</v>
      </c>
    </row>
    <row r="138" spans="90:91">
      <c r="CL138" s="174">
        <v>46386</v>
      </c>
      <c r="CM138" s="173" t="s">
        <v>3202</v>
      </c>
    </row>
    <row r="139" spans="90:91">
      <c r="CL139" s="174">
        <v>46387</v>
      </c>
      <c r="CM139" s="173" t="s">
        <v>3202</v>
      </c>
    </row>
    <row r="140" spans="90:91">
      <c r="CL140" s="174">
        <v>46388</v>
      </c>
      <c r="CM140" s="173" t="s">
        <v>3200</v>
      </c>
    </row>
    <row r="141" spans="90:91">
      <c r="CL141" s="174">
        <v>46389</v>
      </c>
      <c r="CM141" s="173" t="s">
        <v>3202</v>
      </c>
    </row>
    <row r="142" spans="90:91">
      <c r="CL142" s="174">
        <v>46390</v>
      </c>
      <c r="CM142" s="173" t="s">
        <v>3202</v>
      </c>
    </row>
    <row r="143" spans="90:91">
      <c r="CL143" s="174">
        <v>46398</v>
      </c>
      <c r="CM143" s="173" t="s">
        <v>3199</v>
      </c>
    </row>
    <row r="144" spans="90:91">
      <c r="CL144" s="174">
        <v>46429</v>
      </c>
      <c r="CM144" s="173" t="s">
        <v>3198</v>
      </c>
    </row>
    <row r="145" spans="90:91">
      <c r="CL145" s="174">
        <v>46441</v>
      </c>
      <c r="CM145" s="173" t="s">
        <v>3197</v>
      </c>
    </row>
    <row r="146" spans="90:91">
      <c r="CL146" s="174">
        <v>46467</v>
      </c>
      <c r="CM146" s="173" t="s">
        <v>3196</v>
      </c>
    </row>
    <row r="147" spans="90:91">
      <c r="CL147" s="174">
        <v>46468</v>
      </c>
      <c r="CM147" s="173" t="s">
        <v>3201</v>
      </c>
    </row>
    <row r="148" spans="90:91">
      <c r="CL148" s="174">
        <v>46506</v>
      </c>
      <c r="CM148" s="173" t="s">
        <v>3195</v>
      </c>
    </row>
    <row r="149" spans="90:91">
      <c r="CL149" s="174">
        <v>46510</v>
      </c>
      <c r="CM149" s="173" t="s">
        <v>3194</v>
      </c>
    </row>
    <row r="150" spans="90:91">
      <c r="CL150" s="174">
        <v>46511</v>
      </c>
      <c r="CM150" s="173" t="s">
        <v>3193</v>
      </c>
    </row>
    <row r="151" spans="90:91">
      <c r="CL151" s="174">
        <v>46512</v>
      </c>
      <c r="CM151" s="173" t="s">
        <v>3192</v>
      </c>
    </row>
    <row r="152" spans="90:91">
      <c r="CL152" s="174">
        <v>46587</v>
      </c>
      <c r="CM152" s="173" t="s">
        <v>3191</v>
      </c>
    </row>
    <row r="153" spans="90:91">
      <c r="CL153" s="174">
        <v>46610</v>
      </c>
      <c r="CM153" s="173" t="s">
        <v>3190</v>
      </c>
    </row>
    <row r="154" spans="90:91">
      <c r="CL154" s="174">
        <v>46612</v>
      </c>
      <c r="CM154" s="173" t="s">
        <v>3203</v>
      </c>
    </row>
    <row r="155" spans="90:91">
      <c r="CL155" s="174">
        <v>46613</v>
      </c>
      <c r="CM155" s="173" t="s">
        <v>3203</v>
      </c>
    </row>
    <row r="156" spans="90:91">
      <c r="CL156" s="174">
        <v>46614</v>
      </c>
      <c r="CM156" s="173" t="s">
        <v>3203</v>
      </c>
    </row>
    <row r="157" spans="90:91">
      <c r="CL157" s="174">
        <v>46615</v>
      </c>
      <c r="CM157" s="173" t="s">
        <v>3203</v>
      </c>
    </row>
    <row r="158" spans="90:91">
      <c r="CL158" s="174">
        <v>46650</v>
      </c>
      <c r="CM158" s="173" t="s">
        <v>3189</v>
      </c>
    </row>
    <row r="159" spans="90:91">
      <c r="CL159" s="174">
        <v>46653</v>
      </c>
      <c r="CM159" s="173" t="s">
        <v>3187</v>
      </c>
    </row>
    <row r="160" spans="90:91">
      <c r="CL160" s="174">
        <v>46671</v>
      </c>
      <c r="CM160" s="173" t="s">
        <v>3186</v>
      </c>
    </row>
    <row r="161" spans="90:91">
      <c r="CL161" s="174">
        <v>46694</v>
      </c>
      <c r="CM161" s="173" t="s">
        <v>3185</v>
      </c>
    </row>
    <row r="162" spans="90:91">
      <c r="CL162" s="174">
        <v>46714</v>
      </c>
      <c r="CM162" s="173" t="s">
        <v>3184</v>
      </c>
    </row>
    <row r="163" spans="90:91">
      <c r="CL163" s="174">
        <v>46750</v>
      </c>
      <c r="CM163" s="173" t="s">
        <v>3202</v>
      </c>
    </row>
    <row r="164" spans="90:91">
      <c r="CL164" s="174">
        <v>46751</v>
      </c>
      <c r="CM164" s="173" t="s">
        <v>3202</v>
      </c>
    </row>
    <row r="165" spans="90:91">
      <c r="CL165" s="174">
        <v>46752</v>
      </c>
      <c r="CM165" s="173" t="s">
        <v>3202</v>
      </c>
    </row>
    <row r="166" spans="90:91">
      <c r="CL166" s="174">
        <v>46753</v>
      </c>
      <c r="CM166" s="173" t="s">
        <v>3200</v>
      </c>
    </row>
    <row r="167" spans="90:91">
      <c r="CL167" s="174">
        <v>46754</v>
      </c>
      <c r="CM167" s="173" t="s">
        <v>3202</v>
      </c>
    </row>
    <row r="168" spans="90:91">
      <c r="CL168" s="174">
        <v>46755</v>
      </c>
      <c r="CM168" s="173" t="s">
        <v>3202</v>
      </c>
    </row>
    <row r="169" spans="90:91">
      <c r="CL169" s="174">
        <v>46762</v>
      </c>
      <c r="CM169" s="173" t="s">
        <v>3199</v>
      </c>
    </row>
    <row r="170" spans="90:91">
      <c r="CL170" s="174">
        <v>46794</v>
      </c>
      <c r="CM170" s="173" t="s">
        <v>3198</v>
      </c>
    </row>
    <row r="171" spans="90:91">
      <c r="CL171" s="174">
        <v>46806</v>
      </c>
      <c r="CM171" s="173" t="s">
        <v>3197</v>
      </c>
    </row>
    <row r="172" spans="90:91">
      <c r="CL172" s="174">
        <v>46832</v>
      </c>
      <c r="CM172" s="173" t="s">
        <v>3196</v>
      </c>
    </row>
    <row r="173" spans="90:91">
      <c r="CL173" s="174">
        <v>46872</v>
      </c>
      <c r="CM173" s="173" t="s">
        <v>3195</v>
      </c>
    </row>
    <row r="174" spans="90:91">
      <c r="CL174" s="174">
        <v>46876</v>
      </c>
      <c r="CM174" s="173" t="s">
        <v>3194</v>
      </c>
    </row>
    <row r="175" spans="90:91">
      <c r="CL175" s="174">
        <v>46877</v>
      </c>
      <c r="CM175" s="173" t="s">
        <v>3193</v>
      </c>
    </row>
    <row r="176" spans="90:91">
      <c r="CL176" s="174">
        <v>46878</v>
      </c>
      <c r="CM176" s="173" t="s">
        <v>3192</v>
      </c>
    </row>
    <row r="177" spans="90:91">
      <c r="CL177" s="174">
        <v>46951</v>
      </c>
      <c r="CM177" s="173" t="s">
        <v>3191</v>
      </c>
    </row>
    <row r="178" spans="90:91">
      <c r="CL178" s="174">
        <v>46976</v>
      </c>
      <c r="CM178" s="173" t="s">
        <v>3190</v>
      </c>
    </row>
    <row r="179" spans="90:91">
      <c r="CL179" s="174">
        <v>46978</v>
      </c>
      <c r="CM179" s="173" t="s">
        <v>3203</v>
      </c>
    </row>
    <row r="180" spans="90:91">
      <c r="CL180" s="174">
        <v>46979</v>
      </c>
      <c r="CM180" s="173" t="s">
        <v>3203</v>
      </c>
    </row>
    <row r="181" spans="90:91">
      <c r="CL181" s="174">
        <v>46980</v>
      </c>
      <c r="CM181" s="173" t="s">
        <v>3203</v>
      </c>
    </row>
    <row r="182" spans="90:91">
      <c r="CL182" s="174">
        <v>46981</v>
      </c>
      <c r="CM182" s="173" t="s">
        <v>3203</v>
      </c>
    </row>
    <row r="183" spans="90:91">
      <c r="CL183" s="174">
        <v>47014</v>
      </c>
      <c r="CM183" s="173" t="s">
        <v>3189</v>
      </c>
    </row>
    <row r="184" spans="90:91">
      <c r="CL184" s="174">
        <v>47018</v>
      </c>
      <c r="CM184" s="173" t="s">
        <v>3187</v>
      </c>
    </row>
    <row r="185" spans="90:91">
      <c r="CL185" s="174">
        <v>47035</v>
      </c>
      <c r="CM185" s="173" t="s">
        <v>3186</v>
      </c>
    </row>
    <row r="186" spans="90:91">
      <c r="CL186" s="174">
        <v>47060</v>
      </c>
      <c r="CM186" s="173" t="s">
        <v>3185</v>
      </c>
    </row>
    <row r="187" spans="90:91">
      <c r="CL187" s="174">
        <v>47080</v>
      </c>
      <c r="CM187" s="173" t="s">
        <v>3184</v>
      </c>
    </row>
    <row r="188" spans="90:91">
      <c r="CL188" s="174">
        <v>47116</v>
      </c>
      <c r="CM188" s="173" t="s">
        <v>3202</v>
      </c>
    </row>
    <row r="189" spans="90:91">
      <c r="CL189" s="174">
        <v>47117</v>
      </c>
      <c r="CM189" s="173" t="s">
        <v>3202</v>
      </c>
    </row>
    <row r="190" spans="90:91">
      <c r="CL190" s="174">
        <v>47118</v>
      </c>
      <c r="CM190" s="173" t="s">
        <v>3202</v>
      </c>
    </row>
    <row r="191" spans="90:91">
      <c r="CL191" s="174">
        <v>47119</v>
      </c>
      <c r="CM191" s="173" t="s">
        <v>3200</v>
      </c>
    </row>
    <row r="192" spans="90:91">
      <c r="CL192" s="174">
        <v>47120</v>
      </c>
      <c r="CM192" s="173" t="s">
        <v>3202</v>
      </c>
    </row>
    <row r="193" spans="90:91">
      <c r="CL193" s="174">
        <v>47121</v>
      </c>
      <c r="CM193" s="173" t="s">
        <v>3202</v>
      </c>
    </row>
    <row r="194" spans="90:91">
      <c r="CL194" s="174">
        <v>47126</v>
      </c>
      <c r="CM194" s="173" t="s">
        <v>3199</v>
      </c>
    </row>
    <row r="195" spans="90:91">
      <c r="CL195" s="174">
        <v>47160</v>
      </c>
      <c r="CM195" s="173" t="s">
        <v>3198</v>
      </c>
    </row>
    <row r="196" spans="90:91">
      <c r="CL196" s="174">
        <v>47161</v>
      </c>
      <c r="CM196" s="173" t="s">
        <v>3201</v>
      </c>
    </row>
    <row r="197" spans="90:91">
      <c r="CL197" s="174">
        <v>47172</v>
      </c>
      <c r="CM197" s="173" t="s">
        <v>3197</v>
      </c>
    </row>
    <row r="198" spans="90:91">
      <c r="CL198" s="174">
        <v>47197</v>
      </c>
      <c r="CM198" s="173" t="s">
        <v>3196</v>
      </c>
    </row>
    <row r="199" spans="90:91">
      <c r="CL199" s="174">
        <v>47237</v>
      </c>
      <c r="CM199" s="173" t="s">
        <v>3195</v>
      </c>
    </row>
    <row r="200" spans="90:91">
      <c r="CL200" s="174">
        <v>47238</v>
      </c>
      <c r="CM200" s="173" t="s">
        <v>3201</v>
      </c>
    </row>
    <row r="201" spans="90:91">
      <c r="CL201" s="174">
        <v>47241</v>
      </c>
      <c r="CM201" s="173" t="s">
        <v>3194</v>
      </c>
    </row>
    <row r="202" spans="90:91">
      <c r="CL202" s="174">
        <v>47242</v>
      </c>
      <c r="CM202" s="173" t="s">
        <v>3193</v>
      </c>
    </row>
    <row r="203" spans="90:91">
      <c r="CL203" s="174">
        <v>47243</v>
      </c>
      <c r="CM203" s="173" t="s">
        <v>3192</v>
      </c>
    </row>
    <row r="204" spans="90:91">
      <c r="CL204" s="174">
        <v>47315</v>
      </c>
      <c r="CM204" s="173" t="s">
        <v>3191</v>
      </c>
    </row>
    <row r="205" spans="90:91">
      <c r="CL205" s="174">
        <v>47341</v>
      </c>
      <c r="CM205" s="173" t="s">
        <v>3190</v>
      </c>
    </row>
    <row r="206" spans="90:91">
      <c r="CL206" s="174">
        <v>47343</v>
      </c>
      <c r="CM206" s="173" t="s">
        <v>3203</v>
      </c>
    </row>
    <row r="207" spans="90:91">
      <c r="CL207" s="174">
        <v>47344</v>
      </c>
      <c r="CM207" s="173" t="s">
        <v>3203</v>
      </c>
    </row>
    <row r="208" spans="90:91">
      <c r="CL208" s="174">
        <v>47345</v>
      </c>
      <c r="CM208" s="173" t="s">
        <v>3203</v>
      </c>
    </row>
    <row r="209" spans="90:91">
      <c r="CL209" s="174">
        <v>47346</v>
      </c>
      <c r="CM209" s="173" t="s">
        <v>3203</v>
      </c>
    </row>
    <row r="210" spans="90:91">
      <c r="CL210" s="174">
        <v>47378</v>
      </c>
      <c r="CM210" s="173" t="s">
        <v>3189</v>
      </c>
    </row>
    <row r="211" spans="90:91">
      <c r="CL211" s="174">
        <v>47384</v>
      </c>
      <c r="CM211" s="173" t="s">
        <v>3187</v>
      </c>
    </row>
    <row r="212" spans="90:91">
      <c r="CL212" s="174">
        <v>47385</v>
      </c>
      <c r="CM212" s="173" t="s">
        <v>3201</v>
      </c>
    </row>
    <row r="213" spans="90:91">
      <c r="CL213" s="174">
        <v>47399</v>
      </c>
      <c r="CM213" s="173" t="s">
        <v>3186</v>
      </c>
    </row>
    <row r="214" spans="90:91">
      <c r="CL214" s="174">
        <v>47425</v>
      </c>
      <c r="CM214" s="173" t="s">
        <v>3185</v>
      </c>
    </row>
    <row r="215" spans="90:91">
      <c r="CL215" s="174">
        <v>47445</v>
      </c>
      <c r="CM215" s="173" t="s">
        <v>3184</v>
      </c>
    </row>
    <row r="216" spans="90:91">
      <c r="CL216" s="174">
        <v>47481</v>
      </c>
      <c r="CM216" s="173" t="s">
        <v>3202</v>
      </c>
    </row>
    <row r="217" spans="90:91">
      <c r="CL217" s="174">
        <v>47482</v>
      </c>
      <c r="CM217" s="173" t="s">
        <v>3202</v>
      </c>
    </row>
    <row r="218" spans="90:91">
      <c r="CL218" s="174">
        <v>47483</v>
      </c>
      <c r="CM218" s="173" t="s">
        <v>3202</v>
      </c>
    </row>
    <row r="219" spans="90:91">
      <c r="CL219" s="174">
        <v>47484</v>
      </c>
      <c r="CM219" s="173" t="s">
        <v>3200</v>
      </c>
    </row>
    <row r="220" spans="90:91">
      <c r="CL220" s="174">
        <v>47485</v>
      </c>
      <c r="CM220" s="173" t="s">
        <v>3202</v>
      </c>
    </row>
    <row r="221" spans="90:91">
      <c r="CL221" s="174">
        <v>47486</v>
      </c>
      <c r="CM221" s="173" t="s">
        <v>3202</v>
      </c>
    </row>
    <row r="222" spans="90:91">
      <c r="CL222" s="174">
        <v>47497</v>
      </c>
      <c r="CM222" s="173" t="s">
        <v>3199</v>
      </c>
    </row>
    <row r="223" spans="90:91">
      <c r="CL223" s="174">
        <v>47525</v>
      </c>
      <c r="CM223" s="173" t="s">
        <v>3198</v>
      </c>
    </row>
    <row r="224" spans="90:91">
      <c r="CL224" s="174">
        <v>47537</v>
      </c>
      <c r="CM224" s="173" t="s">
        <v>3197</v>
      </c>
    </row>
    <row r="225" spans="90:91">
      <c r="CL225" s="174">
        <v>47562</v>
      </c>
      <c r="CM225" s="173" t="s">
        <v>3196</v>
      </c>
    </row>
    <row r="226" spans="90:91">
      <c r="CL226" s="174">
        <v>47602</v>
      </c>
      <c r="CM226" s="173" t="s">
        <v>3195</v>
      </c>
    </row>
    <row r="227" spans="90:91">
      <c r="CL227" s="174">
        <v>47606</v>
      </c>
      <c r="CM227" s="173" t="s">
        <v>3194</v>
      </c>
    </row>
    <row r="228" spans="90:91">
      <c r="CL228" s="174">
        <v>47607</v>
      </c>
      <c r="CM228" s="173" t="s">
        <v>3193</v>
      </c>
    </row>
    <row r="229" spans="90:91">
      <c r="CL229" s="174">
        <v>47608</v>
      </c>
      <c r="CM229" s="173" t="s">
        <v>3192</v>
      </c>
    </row>
    <row r="230" spans="90:91">
      <c r="CL230" s="174">
        <v>47609</v>
      </c>
      <c r="CM230" s="173" t="s">
        <v>3201</v>
      </c>
    </row>
    <row r="231" spans="90:91">
      <c r="CL231" s="174">
        <v>47679</v>
      </c>
      <c r="CM231" s="173" t="s">
        <v>3191</v>
      </c>
    </row>
    <row r="232" spans="90:91">
      <c r="CL232" s="174">
        <v>47706</v>
      </c>
      <c r="CM232" s="173" t="s">
        <v>3190</v>
      </c>
    </row>
    <row r="233" spans="90:91">
      <c r="CL233" s="174">
        <v>47707</v>
      </c>
      <c r="CM233" s="173" t="s">
        <v>3201</v>
      </c>
    </row>
    <row r="234" spans="90:91">
      <c r="CL234" s="174">
        <v>47708</v>
      </c>
      <c r="CM234" s="173" t="s">
        <v>3203</v>
      </c>
    </row>
    <row r="235" spans="90:91">
      <c r="CL235" s="174">
        <v>47709</v>
      </c>
      <c r="CM235" s="173" t="s">
        <v>3203</v>
      </c>
    </row>
    <row r="236" spans="90:91">
      <c r="CL236" s="174">
        <v>47710</v>
      </c>
      <c r="CM236" s="173" t="s">
        <v>3203</v>
      </c>
    </row>
    <row r="237" spans="90:91">
      <c r="CL237" s="174">
        <v>47711</v>
      </c>
      <c r="CM237" s="173" t="s">
        <v>3203</v>
      </c>
    </row>
    <row r="238" spans="90:91">
      <c r="CL238" s="174">
        <v>47742</v>
      </c>
      <c r="CM238" s="173" t="s">
        <v>3189</v>
      </c>
    </row>
    <row r="239" spans="90:91">
      <c r="CL239" s="174">
        <v>47749</v>
      </c>
      <c r="CM239" s="173" t="s">
        <v>3187</v>
      </c>
    </row>
    <row r="240" spans="90:91">
      <c r="CL240" s="174">
        <v>47770</v>
      </c>
      <c r="CM240" s="173" t="s">
        <v>3186</v>
      </c>
    </row>
    <row r="241" spans="90:91">
      <c r="CL241" s="174">
        <v>47790</v>
      </c>
      <c r="CM241" s="173" t="s">
        <v>3185</v>
      </c>
    </row>
    <row r="242" spans="90:91">
      <c r="CL242" s="174">
        <v>47791</v>
      </c>
      <c r="CM242" s="173" t="s">
        <v>3201</v>
      </c>
    </row>
    <row r="243" spans="90:91">
      <c r="CL243" s="174">
        <v>47810</v>
      </c>
      <c r="CM243" s="173" t="s">
        <v>3184</v>
      </c>
    </row>
    <row r="244" spans="90:91">
      <c r="CL244" s="174">
        <v>47846</v>
      </c>
      <c r="CM244" s="173" t="s">
        <v>3202</v>
      </c>
    </row>
    <row r="245" spans="90:91">
      <c r="CL245" s="174">
        <v>47847</v>
      </c>
      <c r="CM245" s="173" t="s">
        <v>3202</v>
      </c>
    </row>
    <row r="246" spans="90:91">
      <c r="CL246" s="174">
        <v>47848</v>
      </c>
      <c r="CM246" s="173" t="s">
        <v>3202</v>
      </c>
    </row>
    <row r="247" spans="90:91">
      <c r="CL247" s="174">
        <v>47849</v>
      </c>
      <c r="CM247" s="173" t="s">
        <v>3200</v>
      </c>
    </row>
    <row r="248" spans="90:91">
      <c r="CL248" s="174">
        <v>47861</v>
      </c>
      <c r="CM248" s="173" t="s">
        <v>3199</v>
      </c>
    </row>
    <row r="249" spans="90:91">
      <c r="CL249" s="174">
        <v>47890</v>
      </c>
      <c r="CM249" s="173" t="s">
        <v>3198</v>
      </c>
    </row>
    <row r="250" spans="90:91">
      <c r="CL250" s="174">
        <v>47902</v>
      </c>
      <c r="CM250" s="173" t="s">
        <v>3197</v>
      </c>
    </row>
    <row r="251" spans="90:91">
      <c r="CL251" s="174">
        <v>47903</v>
      </c>
      <c r="CM251" s="173" t="s">
        <v>3201</v>
      </c>
    </row>
    <row r="252" spans="90:91">
      <c r="CL252" s="174">
        <v>47928</v>
      </c>
      <c r="CM252" s="173" t="s">
        <v>3196</v>
      </c>
    </row>
    <row r="253" spans="90:91">
      <c r="CL253" s="174">
        <v>47967</v>
      </c>
      <c r="CM253" s="173" t="s">
        <v>3195</v>
      </c>
    </row>
    <row r="254" spans="90:91">
      <c r="CL254" s="174">
        <v>47971</v>
      </c>
      <c r="CM254" s="173" t="s">
        <v>3194</v>
      </c>
    </row>
    <row r="255" spans="90:91">
      <c r="CL255" s="174">
        <v>47972</v>
      </c>
      <c r="CM255" s="173" t="s">
        <v>3193</v>
      </c>
    </row>
    <row r="256" spans="90:91">
      <c r="CL256" s="174">
        <v>47973</v>
      </c>
      <c r="CM256" s="173" t="s">
        <v>3192</v>
      </c>
    </row>
    <row r="257" spans="90:91">
      <c r="CL257" s="174">
        <v>47974</v>
      </c>
      <c r="CM257" s="173" t="s">
        <v>3201</v>
      </c>
    </row>
    <row r="258" spans="90:91">
      <c r="CL258" s="174">
        <v>48050</v>
      </c>
      <c r="CM258" s="173" t="s">
        <v>3191</v>
      </c>
    </row>
    <row r="259" spans="90:91">
      <c r="CL259" s="174">
        <v>48071</v>
      </c>
      <c r="CM259" s="173" t="s">
        <v>3190</v>
      </c>
    </row>
    <row r="260" spans="90:91">
      <c r="CL260" s="174">
        <v>48106</v>
      </c>
      <c r="CM260" s="173" t="s">
        <v>3189</v>
      </c>
    </row>
    <row r="261" spans="90:91">
      <c r="CL261" s="174">
        <v>48114</v>
      </c>
      <c r="CM261" s="173" t="s">
        <v>3187</v>
      </c>
    </row>
    <row r="262" spans="90:91">
      <c r="CL262" s="174">
        <v>48134</v>
      </c>
      <c r="CM262" s="173" t="s">
        <v>3186</v>
      </c>
    </row>
    <row r="263" spans="90:91">
      <c r="CL263" s="174">
        <v>48155</v>
      </c>
      <c r="CM263" s="173" t="s">
        <v>3185</v>
      </c>
    </row>
    <row r="264" spans="90:91">
      <c r="CL264" s="174">
        <v>48175</v>
      </c>
      <c r="CM264" s="173" t="s">
        <v>3184</v>
      </c>
    </row>
    <row r="265" spans="90:91">
      <c r="CL265" s="174">
        <v>48176</v>
      </c>
      <c r="CM265" s="173" t="s">
        <v>3201</v>
      </c>
    </row>
    <row r="266" spans="90:91">
      <c r="CL266" s="174">
        <v>48214</v>
      </c>
      <c r="CM266" s="173" t="s">
        <v>3200</v>
      </c>
    </row>
    <row r="267" spans="90:91">
      <c r="CL267" s="174">
        <v>48225</v>
      </c>
      <c r="CM267" s="173" t="s">
        <v>3199</v>
      </c>
    </row>
    <row r="268" spans="90:91">
      <c r="CL268" s="174">
        <v>48255</v>
      </c>
      <c r="CM268" s="173" t="s">
        <v>3198</v>
      </c>
    </row>
    <row r="269" spans="90:91">
      <c r="CL269" s="174">
        <v>48267</v>
      </c>
      <c r="CM269" s="173" t="s">
        <v>3197</v>
      </c>
    </row>
    <row r="270" spans="90:91">
      <c r="CL270" s="174">
        <v>48293</v>
      </c>
      <c r="CM270" s="173" t="s">
        <v>3196</v>
      </c>
    </row>
    <row r="271" spans="90:91">
      <c r="CL271" s="174">
        <v>48333</v>
      </c>
      <c r="CM271" s="173" t="s">
        <v>3195</v>
      </c>
    </row>
    <row r="272" spans="90:91">
      <c r="CL272" s="174">
        <v>48337</v>
      </c>
      <c r="CM272" s="173" t="s">
        <v>3194</v>
      </c>
    </row>
    <row r="273" spans="90:91">
      <c r="CL273" s="174">
        <v>48338</v>
      </c>
      <c r="CM273" s="173" t="s">
        <v>3193</v>
      </c>
    </row>
    <row r="274" spans="90:91">
      <c r="CL274" s="174">
        <v>48339</v>
      </c>
      <c r="CM274" s="173" t="s">
        <v>3192</v>
      </c>
    </row>
    <row r="275" spans="90:91">
      <c r="CL275" s="174">
        <v>48414</v>
      </c>
      <c r="CM275" s="173" t="s">
        <v>3191</v>
      </c>
    </row>
    <row r="276" spans="90:91">
      <c r="CL276" s="174">
        <v>48437</v>
      </c>
      <c r="CM276" s="173" t="s">
        <v>3190</v>
      </c>
    </row>
    <row r="277" spans="90:91">
      <c r="CL277" s="174">
        <v>48477</v>
      </c>
      <c r="CM277" s="173" t="s">
        <v>3189</v>
      </c>
    </row>
    <row r="278" spans="90:91">
      <c r="CL278" s="174">
        <v>48478</v>
      </c>
      <c r="CM278" s="173" t="s">
        <v>3188</v>
      </c>
    </row>
    <row r="279" spans="90:91">
      <c r="CL279" s="174">
        <v>48479</v>
      </c>
      <c r="CM279" s="173" t="s">
        <v>3187</v>
      </c>
    </row>
    <row r="280" spans="90:91">
      <c r="CL280" s="174">
        <v>48498</v>
      </c>
      <c r="CM280" s="173" t="s">
        <v>3186</v>
      </c>
    </row>
    <row r="281" spans="90:91">
      <c r="CL281" s="174">
        <v>48521</v>
      </c>
      <c r="CM281" s="173" t="s">
        <v>3185</v>
      </c>
    </row>
    <row r="282" spans="90:91">
      <c r="CL282" s="174">
        <v>48541</v>
      </c>
      <c r="CM282" s="173" t="s">
        <v>3184</v>
      </c>
    </row>
  </sheetData>
  <sortState xmlns:xlrd2="http://schemas.microsoft.com/office/spreadsheetml/2017/richdata2" ref="AU17:AW40">
    <sortCondition ref="AV17:AV40"/>
  </sortState>
  <mergeCells count="123">
    <mergeCell ref="BI83:BI86"/>
    <mergeCell ref="BI88:BI90"/>
    <mergeCell ref="A33:B33"/>
    <mergeCell ref="A34:B34"/>
    <mergeCell ref="A35:B35"/>
    <mergeCell ref="A36:B36"/>
    <mergeCell ref="A38:B38"/>
    <mergeCell ref="BI42:BI43"/>
    <mergeCell ref="A28:B28"/>
    <mergeCell ref="E28:F28"/>
    <mergeCell ref="G28:I28"/>
    <mergeCell ref="J28:K28"/>
    <mergeCell ref="BI76:BI77"/>
    <mergeCell ref="BI79:BI81"/>
    <mergeCell ref="A31:B31"/>
    <mergeCell ref="E31:F31"/>
    <mergeCell ref="G31:I31"/>
    <mergeCell ref="J31:K31"/>
    <mergeCell ref="A32:B32"/>
    <mergeCell ref="E32:F32"/>
    <mergeCell ref="J25:K25"/>
    <mergeCell ref="AG25:AH25"/>
    <mergeCell ref="A26:B26"/>
    <mergeCell ref="E26:F26"/>
    <mergeCell ref="G26:I26"/>
    <mergeCell ref="J26:K26"/>
    <mergeCell ref="AG26:AH26"/>
    <mergeCell ref="BI29:BI30"/>
    <mergeCell ref="A30:B30"/>
    <mergeCell ref="E30:F30"/>
    <mergeCell ref="G30:I30"/>
    <mergeCell ref="J30:K30"/>
    <mergeCell ref="AG30:AH30"/>
    <mergeCell ref="AJ10:AJ26"/>
    <mergeCell ref="AG11:AH11"/>
    <mergeCell ref="AG12:AH12"/>
    <mergeCell ref="E13:F13"/>
    <mergeCell ref="M13:N13"/>
    <mergeCell ref="AG13:AH13"/>
    <mergeCell ref="A25:B25"/>
    <mergeCell ref="E25:F25"/>
    <mergeCell ref="G25:I25"/>
    <mergeCell ref="A23:B23"/>
    <mergeCell ref="E23:F23"/>
    <mergeCell ref="J23:K23"/>
    <mergeCell ref="AG23:AH23"/>
    <mergeCell ref="BI23:BI24"/>
    <mergeCell ref="A24:B24"/>
    <mergeCell ref="E24:F24"/>
    <mergeCell ref="G24:I24"/>
    <mergeCell ref="J24:K24"/>
    <mergeCell ref="AG24:AH24"/>
    <mergeCell ref="U10:AE12"/>
    <mergeCell ref="AA13:AE14"/>
    <mergeCell ref="AG22:AH22"/>
    <mergeCell ref="A18:B18"/>
    <mergeCell ref="E18:F18"/>
    <mergeCell ref="G18:I18"/>
    <mergeCell ref="AG18:AH18"/>
    <mergeCell ref="A19:B19"/>
    <mergeCell ref="E19:F19"/>
    <mergeCell ref="G19:I19"/>
    <mergeCell ref="AG19:AH19"/>
    <mergeCell ref="E14:F14"/>
    <mergeCell ref="G14:I14"/>
    <mergeCell ref="A20:B20"/>
    <mergeCell ref="AG20:AH20"/>
    <mergeCell ref="A21:B21"/>
    <mergeCell ref="M21:O21"/>
    <mergeCell ref="AG21:AH21"/>
    <mergeCell ref="AG14:AH14"/>
    <mergeCell ref="B15:C15"/>
    <mergeCell ref="E15:I15"/>
    <mergeCell ref="AG15:AH15"/>
    <mergeCell ref="AG16:AH16"/>
    <mergeCell ref="A17:B17"/>
    <mergeCell ref="E17:F17"/>
    <mergeCell ref="G17:I17"/>
    <mergeCell ref="AG17:AH17"/>
    <mergeCell ref="A14:B14"/>
    <mergeCell ref="AG9:AH9"/>
    <mergeCell ref="AG10:AH10"/>
    <mergeCell ref="AB2:AC3"/>
    <mergeCell ref="AE2:AE3"/>
    <mergeCell ref="B3:C3"/>
    <mergeCell ref="F3:H3"/>
    <mergeCell ref="AO3:AQ3"/>
    <mergeCell ref="CL3:CM3"/>
    <mergeCell ref="CO3:CP3"/>
    <mergeCell ref="AE5:AE6"/>
    <mergeCell ref="B6:B7"/>
    <mergeCell ref="C6:C7"/>
    <mergeCell ref="D6:F7"/>
    <mergeCell ref="G6:J7"/>
    <mergeCell ref="AB6:AB7"/>
    <mergeCell ref="AC6:AC7"/>
    <mergeCell ref="K7:K9"/>
    <mergeCell ref="B8:B9"/>
    <mergeCell ref="C8:C9"/>
    <mergeCell ref="D8:F9"/>
    <mergeCell ref="G8:J9"/>
    <mergeCell ref="AB8:AC9"/>
    <mergeCell ref="AE8:AE9"/>
    <mergeCell ref="B10:K11"/>
    <mergeCell ref="A4:A9"/>
    <mergeCell ref="B4:C4"/>
    <mergeCell ref="D4:E4"/>
    <mergeCell ref="G4:H4"/>
    <mergeCell ref="I4:I5"/>
    <mergeCell ref="J4:J5"/>
    <mergeCell ref="K4:K6"/>
    <mergeCell ref="AB4:AC5"/>
    <mergeCell ref="B5:C5"/>
    <mergeCell ref="L1:M1"/>
    <mergeCell ref="N1:Q1"/>
    <mergeCell ref="S1:U1"/>
    <mergeCell ref="V1:W1"/>
    <mergeCell ref="Y1:Z1"/>
    <mergeCell ref="B2:C2"/>
    <mergeCell ref="D2:E2"/>
    <mergeCell ref="G2:H2"/>
    <mergeCell ref="J2:J3"/>
    <mergeCell ref="V2:W2"/>
  </mergeCells>
  <phoneticPr fontId="1"/>
  <conditionalFormatting sqref="N5:O6">
    <cfRule type="expression" dxfId="117" priority="7">
      <formula>[R]事前提出="事前なし"</formula>
    </cfRule>
  </conditionalFormatting>
  <conditionalFormatting sqref="V4:W6">
    <cfRule type="expression" dxfId="116" priority="6">
      <formula>[R]工事種別="新築"</formula>
    </cfRule>
  </conditionalFormatting>
  <conditionalFormatting sqref="Y4:Y6">
    <cfRule type="expression" dxfId="115" priority="2">
      <formula>[R]長期・低炭素="長期・低炭素・性能評価なし"</formula>
    </cfRule>
    <cfRule type="expression" dxfId="114" priority="3">
      <formula>$D$6="/　長期・低炭素・性能評価なし　/"</formula>
    </cfRule>
    <cfRule type="expression" dxfId="113" priority="4">
      <formula>$D$6="/　長期優良なし　/"</formula>
    </cfRule>
  </conditionalFormatting>
  <conditionalFormatting sqref="AA4:AA6">
    <cfRule type="expression" dxfId="112" priority="5">
      <formula>[R]地盤改良="無し"</formula>
    </cfRule>
  </conditionalFormatting>
  <dataValidations count="7">
    <dataValidation type="list" allowBlank="1" showInputMessage="1" sqref="C25:C35 C21 C38 G19 G24:G31" xr:uid="{51B87452-5DBA-42A8-85BC-3DF5DEE087EC}">
      <formula1>"無し,有り"</formula1>
    </dataValidation>
    <dataValidation type="list" allowBlank="1" showInputMessage="1" sqref="G18" xr:uid="{74C0E781-C6BD-41C6-862A-F3F7792CA317}">
      <formula1>"二世帯, 単世帯"</formula1>
    </dataValidation>
    <dataValidation type="list" allowBlank="1" showInputMessage="1" sqref="C20" xr:uid="{40EBBEF8-DD20-4CE0-AA11-AA02D251F78C}">
      <formula1>"長期優良,性能評価,低炭素,長期・低炭素・性能評価なし"</formula1>
    </dataValidation>
    <dataValidation type="list" allowBlank="1" showInputMessage="1" sqref="G17" xr:uid="{F6FE9229-06DF-4879-A19B-C04444952CE3}">
      <formula1>"一戸建て,共同住宅等（長屋）"</formula1>
    </dataValidation>
    <dataValidation allowBlank="1" showInputMessage="1" sqref="F4 I4:J5 N4:O4 B8 B6:J6 C7:J9" xr:uid="{4C7B9B62-9985-46D1-B9EE-7D4496F8B7F9}"/>
    <dataValidation type="list" allowBlank="1" showInputMessage="1" sqref="C24" xr:uid="{27F4CB7F-39AE-456E-A2DB-D5E653F7B22D}">
      <formula1>"無し,有り(14日),有り(30日)"</formula1>
    </dataValidation>
    <dataValidation type="list" allowBlank="1" showInputMessage="1" sqref="C36" xr:uid="{67993020-B6CB-48D0-A2EC-DCFD295E5C16}">
      <formula1>"無し,30日,60日,90日"</formula1>
    </dataValidation>
  </dataValidations>
  <pageMargins left="0.70866141732283472" right="0.70866141732283472" top="0.74803149606299213" bottom="0.74803149606299213" header="0.31496062992125984" footer="0.31496062992125984"/>
  <pageSetup paperSize="8" scale="86" firstPageNumber="0" orientation="landscape" horizontalDpi="300" verticalDpi="300" r:id="rId1"/>
  <headerFooter alignWithMargins="0"/>
  <rowBreaks count="6" manualBreakCount="6">
    <brk id="160" max="50" man="1"/>
    <brk id="256" max="50" man="1"/>
    <brk id="352" max="50" man="1"/>
    <brk id="448" max="50" man="1"/>
    <brk id="544" max="50" man="1"/>
    <brk id="640" max="50" man="1"/>
  </rowBreaks>
  <colBreaks count="1" manualBreakCount="1">
    <brk id="17" max="44" man="1"/>
  </colBreaks>
  <tableParts count="3">
    <tablePart r:id="rId2"/>
    <tablePart r:id="rId3"/>
    <tablePart r:id="rId4"/>
  </tableParts>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9A34C5A-24AC-419A-A46A-50CCBFFF07EB}">
  <sheetPr codeName="Sheet16">
    <tabColor rgb="FFFF66FF"/>
    <pageSetUpPr fitToPage="1"/>
  </sheetPr>
  <dimension ref="A1:AB115"/>
  <sheetViews>
    <sheetView view="pageBreakPreview" zoomScaleNormal="100" zoomScaleSheetLayoutView="100" workbookViewId="0">
      <selection activeCell="D16" sqref="D16:G16"/>
    </sheetView>
  </sheetViews>
  <sheetFormatPr defaultColWidth="9" defaultRowHeight="19.5"/>
  <cols>
    <col min="1" max="1" width="2.25" style="357" customWidth="1"/>
    <col min="2" max="2" width="3.75" style="350" customWidth="1"/>
    <col min="3" max="3" width="34" style="350" customWidth="1"/>
    <col min="4" max="4" width="5.375" style="350" customWidth="1"/>
    <col min="5" max="5" width="4" style="350" customWidth="1"/>
    <col min="6" max="6" width="5.375" style="353" customWidth="1"/>
    <col min="7" max="7" width="5" style="350" customWidth="1"/>
    <col min="8" max="8" width="14" style="353" customWidth="1"/>
    <col min="9" max="9" width="5" style="356" customWidth="1"/>
    <col min="10" max="10" width="1.5" style="356" customWidth="1"/>
    <col min="11" max="11" width="29.5" style="350" customWidth="1"/>
    <col min="12" max="12" width="24.875" style="350" customWidth="1"/>
    <col min="13" max="13" width="4" style="355" customWidth="1"/>
    <col min="14" max="14" width="3.625" style="350" customWidth="1"/>
    <col min="15" max="15" width="11.375" style="350" customWidth="1"/>
    <col min="16" max="16" width="3.75" style="353" customWidth="1"/>
    <col min="17" max="17" width="6.125" style="353" customWidth="1"/>
    <col min="18" max="18" width="12.625" style="354" bestFit="1" customWidth="1"/>
    <col min="19" max="19" width="3.75" style="353" customWidth="1"/>
    <col min="20" max="20" width="6.125" style="353" customWidth="1"/>
    <col min="21" max="23" width="9" style="350"/>
    <col min="24" max="24" width="11.25" style="350" customWidth="1"/>
    <col min="25" max="25" width="9" style="350" customWidth="1"/>
    <col min="26" max="26" width="14.75" style="352" customWidth="1"/>
    <col min="27" max="28" width="9" style="351" customWidth="1"/>
    <col min="29" max="16384" width="9" style="350"/>
  </cols>
  <sheetData>
    <row r="1" spans="2:24" ht="12" customHeight="1" thickBot="1">
      <c r="X1" s="350">
        <v>0</v>
      </c>
    </row>
    <row r="2" spans="2:24" ht="16.5" customHeight="1">
      <c r="B2" s="936" t="s">
        <v>3703</v>
      </c>
      <c r="C2" s="937"/>
      <c r="D2" s="937"/>
      <c r="E2" s="937"/>
      <c r="F2" s="938"/>
      <c r="K2" s="970" t="s">
        <v>3704</v>
      </c>
      <c r="L2" s="970"/>
      <c r="M2" s="970"/>
      <c r="O2" s="350">
        <f>K!A2</f>
        <v>282083</v>
      </c>
      <c r="X2" s="350">
        <v>7</v>
      </c>
    </row>
    <row r="3" spans="2:24" ht="16.5" customHeight="1">
      <c r="B3" s="939"/>
      <c r="C3" s="940"/>
      <c r="D3" s="940"/>
      <c r="E3" s="940"/>
      <c r="F3" s="941"/>
      <c r="K3" s="970"/>
      <c r="L3" s="970"/>
      <c r="M3" s="970"/>
      <c r="X3" s="350">
        <v>14</v>
      </c>
    </row>
    <row r="4" spans="2:24" ht="17.25" customHeight="1" thickBot="1">
      <c r="B4" s="942"/>
      <c r="C4" s="943"/>
      <c r="D4" s="943"/>
      <c r="E4" s="943"/>
      <c r="F4" s="944"/>
      <c r="K4" s="970"/>
      <c r="L4" s="970"/>
      <c r="M4" s="970"/>
      <c r="X4" s="350">
        <v>21</v>
      </c>
    </row>
    <row r="5" spans="2:24" ht="19.5" customHeight="1">
      <c r="B5" s="945" t="str">
        <f>工事名</f>
        <v>田中 勝也</v>
      </c>
      <c r="C5" s="945"/>
      <c r="D5" s="945"/>
      <c r="E5" s="945"/>
      <c r="L5" s="550" t="str">
        <f>IF(O2&lt;&gt;0,HYPERLINK("https://nextoffice.next-hd.co.jp/pleasanter/items/"&amp;O2&amp;"/edit","▶▶▶工期計算を開く"),"✕✕✕ 工期計算は未登録")</f>
        <v>▶▶▶工期計算を開く</v>
      </c>
      <c r="M5" s="550"/>
      <c r="N5" s="550"/>
      <c r="O5" s="550"/>
      <c r="X5" s="350">
        <v>28</v>
      </c>
    </row>
    <row r="6" spans="2:24" ht="20.25" customHeight="1" thickBot="1">
      <c r="B6" s="946"/>
      <c r="C6" s="946"/>
      <c r="D6" s="946"/>
      <c r="E6" s="946"/>
      <c r="F6" s="467" t="s">
        <v>3613</v>
      </c>
      <c r="K6" s="550"/>
      <c r="L6" s="550"/>
      <c r="M6" s="550"/>
      <c r="N6" s="550"/>
      <c r="O6" s="550"/>
      <c r="X6" s="350">
        <v>35</v>
      </c>
    </row>
    <row r="7" spans="2:24" s="358" customFormat="1" ht="8.25">
      <c r="F7" s="359"/>
      <c r="H7" s="359"/>
      <c r="M7" s="359"/>
      <c r="P7" s="359"/>
      <c r="Q7" s="359"/>
      <c r="R7" s="360"/>
      <c r="S7" s="359"/>
      <c r="T7" s="359"/>
      <c r="X7" s="358">
        <v>42</v>
      </c>
    </row>
    <row r="8" spans="2:24" s="358" customFormat="1" ht="9" thickBot="1">
      <c r="F8" s="359"/>
      <c r="H8" s="359"/>
      <c r="M8" s="359"/>
      <c r="P8" s="359"/>
      <c r="Q8" s="359"/>
      <c r="R8" s="360"/>
      <c r="S8" s="359"/>
      <c r="T8" s="359"/>
      <c r="X8" s="358">
        <v>49</v>
      </c>
    </row>
    <row r="9" spans="2:24" ht="17.25" customHeight="1" thickBot="1">
      <c r="C9" s="466" t="s">
        <v>3612</v>
      </c>
      <c r="D9" s="465">
        <f ca="1">NumA</f>
        <v>30</v>
      </c>
      <c r="E9" s="463" t="s">
        <v>3562</v>
      </c>
      <c r="F9" s="947" t="s">
        <v>3611</v>
      </c>
      <c r="G9" s="947"/>
      <c r="H9" s="464">
        <f ca="1">NumB</f>
        <v>90</v>
      </c>
      <c r="I9" s="463" t="s">
        <v>3479</v>
      </c>
      <c r="J9" s="463"/>
      <c r="K9" s="948" t="s">
        <v>3610</v>
      </c>
      <c r="L9" s="948"/>
      <c r="O9" s="949" t="s">
        <v>3609</v>
      </c>
      <c r="P9" s="950"/>
      <c r="Q9" s="950"/>
      <c r="R9" s="950"/>
      <c r="S9" s="950"/>
      <c r="T9" s="950"/>
      <c r="U9" s="950"/>
      <c r="V9" s="951"/>
      <c r="X9" s="350">
        <v>56</v>
      </c>
    </row>
    <row r="10" spans="2:24" ht="16.5" customHeight="1">
      <c r="B10" s="462"/>
      <c r="C10" s="461"/>
      <c r="D10" s="460"/>
      <c r="E10" s="460"/>
      <c r="F10" s="460"/>
      <c r="G10" s="460"/>
      <c r="H10" s="958">
        <f ca="1">NumC</f>
        <v>42</v>
      </c>
      <c r="I10" s="961" t="s">
        <v>3562</v>
      </c>
      <c r="J10" s="350"/>
      <c r="K10" s="445" t="s">
        <v>2841</v>
      </c>
      <c r="L10" s="444" t="str">
        <f>変換!D23</f>
        <v>中村 賢治</v>
      </c>
      <c r="M10" s="350"/>
      <c r="O10" s="952"/>
      <c r="P10" s="953"/>
      <c r="Q10" s="953"/>
      <c r="R10" s="953"/>
      <c r="S10" s="953"/>
      <c r="T10" s="953"/>
      <c r="U10" s="953"/>
      <c r="V10" s="954"/>
      <c r="X10" s="350">
        <v>63</v>
      </c>
    </row>
    <row r="11" spans="2:24" ht="19.5" customHeight="1">
      <c r="B11" s="454"/>
      <c r="C11" s="453" t="s">
        <v>3608</v>
      </c>
      <c r="F11" s="350"/>
      <c r="H11" s="959"/>
      <c r="I11" s="962"/>
      <c r="J11" s="350"/>
      <c r="K11" s="445" t="s">
        <v>3607</v>
      </c>
      <c r="L11" s="444" t="str">
        <f>変換!C2</f>
        <v>アクティエ八王子</v>
      </c>
      <c r="M11" s="350"/>
      <c r="O11" s="952"/>
      <c r="P11" s="953"/>
      <c r="Q11" s="953"/>
      <c r="R11" s="953"/>
      <c r="S11" s="953"/>
      <c r="T11" s="953"/>
      <c r="U11" s="953"/>
      <c r="V11" s="954"/>
      <c r="X11" s="350">
        <v>70</v>
      </c>
    </row>
    <row r="12" spans="2:24" ht="20.25" customHeight="1" thickBot="1">
      <c r="B12" s="450"/>
      <c r="C12" s="449"/>
      <c r="D12" s="448"/>
      <c r="E12" s="448"/>
      <c r="F12" s="448"/>
      <c r="G12" s="448"/>
      <c r="H12" s="960"/>
      <c r="I12" s="963"/>
      <c r="J12" s="350"/>
      <c r="K12" s="445" t="s">
        <v>3606</v>
      </c>
      <c r="L12" s="444" t="str">
        <f>変換!D26</f>
        <v>遠藤 ユウジ</v>
      </c>
      <c r="M12" s="350"/>
      <c r="O12" s="952"/>
      <c r="P12" s="953"/>
      <c r="Q12" s="953"/>
      <c r="R12" s="953"/>
      <c r="S12" s="953"/>
      <c r="T12" s="953"/>
      <c r="U12" s="953"/>
      <c r="V12" s="954"/>
      <c r="X12" s="350">
        <v>77</v>
      </c>
    </row>
    <row r="13" spans="2:24" ht="19.5" customHeight="1">
      <c r="B13" s="462"/>
      <c r="C13" s="461" t="s">
        <v>3605</v>
      </c>
      <c r="D13" s="460" t="s">
        <v>3604</v>
      </c>
      <c r="E13" s="460"/>
      <c r="F13" s="460"/>
      <c r="G13" s="459">
        <f ca="1">ClassJ</f>
        <v>1.2</v>
      </c>
      <c r="H13" s="458">
        <f ca="1">IF(H10&gt;=D9,H10-D9,0)</f>
        <v>12</v>
      </c>
      <c r="I13" s="457" t="s">
        <v>3562</v>
      </c>
      <c r="J13" s="350"/>
      <c r="K13" s="445" t="s">
        <v>2622</v>
      </c>
      <c r="L13" s="444" t="str">
        <f>_xlfn.XLOOKUP("ItemTitle",JSONデータ!$H:$H,JSONデータ!$I:$I)</f>
        <v>actie</v>
      </c>
      <c r="M13" s="350"/>
      <c r="O13" s="952"/>
      <c r="P13" s="953"/>
      <c r="Q13" s="953"/>
      <c r="R13" s="953"/>
      <c r="S13" s="953"/>
      <c r="T13" s="953"/>
      <c r="U13" s="953"/>
      <c r="V13" s="954"/>
      <c r="X13" s="350">
        <v>84</v>
      </c>
    </row>
    <row r="14" spans="2:24" ht="19.5" customHeight="1">
      <c r="B14" s="454"/>
      <c r="C14" s="453"/>
      <c r="D14" s="350" t="s">
        <v>3603</v>
      </c>
      <c r="F14" s="350"/>
      <c r="H14" s="456">
        <f ca="1">IF(H10&gt;=D9,0,H10-D9)</f>
        <v>0</v>
      </c>
      <c r="I14" s="455" t="s">
        <v>3562</v>
      </c>
      <c r="J14" s="350"/>
      <c r="K14" s="445" t="s">
        <v>1433</v>
      </c>
      <c r="L14" s="444" t="str">
        <f>_xlfn.XLOOKUP("ItemTitle",JSONデータ!$J:$J,JSONデータ!$K:$K)</f>
        <v>smart style</v>
      </c>
      <c r="M14" s="350"/>
      <c r="O14" s="952"/>
      <c r="P14" s="953"/>
      <c r="Q14" s="953"/>
      <c r="R14" s="953"/>
      <c r="S14" s="953"/>
      <c r="T14" s="953"/>
      <c r="U14" s="953"/>
      <c r="V14" s="954"/>
      <c r="X14" s="350">
        <v>91</v>
      </c>
    </row>
    <row r="15" spans="2:24" ht="19.5" customHeight="1">
      <c r="B15" s="454"/>
      <c r="C15" s="453" t="s">
        <v>3814</v>
      </c>
      <c r="D15" s="350" t="s">
        <v>3602</v>
      </c>
      <c r="F15" s="350"/>
      <c r="H15" s="452">
        <f ca="1">G13*H13</f>
        <v>14.399999999999999</v>
      </c>
      <c r="I15" s="451" t="s">
        <v>3479</v>
      </c>
      <c r="J15" s="350"/>
      <c r="K15" s="445" t="s">
        <v>3601</v>
      </c>
      <c r="L15" s="444" t="str">
        <f>延床面積_坪 &amp;" 坪"</f>
        <v>41.19 坪</v>
      </c>
      <c r="M15" s="350"/>
      <c r="O15" s="952"/>
      <c r="P15" s="953"/>
      <c r="Q15" s="953"/>
      <c r="R15" s="953"/>
      <c r="S15" s="953"/>
      <c r="T15" s="953"/>
      <c r="U15" s="953"/>
      <c r="V15" s="954"/>
      <c r="X15" s="350">
        <v>98</v>
      </c>
    </row>
    <row r="16" spans="2:24" ht="19.5" customHeight="1">
      <c r="B16" s="454"/>
      <c r="C16" s="557" t="str">
        <f>_xlfn.XLOOKUP(エリア,エリア一覧[ID],エリア一覧[エリア],"",0)</f>
        <v>東京</v>
      </c>
      <c r="D16" s="971" t="s">
        <v>3821</v>
      </c>
      <c r="E16" s="971"/>
      <c r="F16" s="971"/>
      <c r="G16" s="971"/>
      <c r="H16" s="558">
        <f>IF(C16="東京",14,0)</f>
        <v>14</v>
      </c>
      <c r="I16" s="451" t="s">
        <v>3479</v>
      </c>
      <c r="J16" s="350"/>
      <c r="K16" s="445"/>
      <c r="L16" s="444"/>
      <c r="M16" s="350"/>
      <c r="O16" s="952"/>
      <c r="P16" s="953"/>
      <c r="Q16" s="953"/>
      <c r="R16" s="953"/>
      <c r="S16" s="953"/>
      <c r="T16" s="953"/>
      <c r="U16" s="953"/>
      <c r="V16" s="954"/>
    </row>
    <row r="17" spans="2:24" ht="20.25" customHeight="1" thickBot="1">
      <c r="B17" s="450"/>
      <c r="C17" s="449"/>
      <c r="D17" s="448" t="s">
        <v>3600</v>
      </c>
      <c r="E17" s="448"/>
      <c r="F17" s="448"/>
      <c r="G17" s="448"/>
      <c r="H17" s="447">
        <f ca="1">H9+H15+H16</f>
        <v>118.4</v>
      </c>
      <c r="I17" s="446" t="s">
        <v>3479</v>
      </c>
      <c r="J17" s="350"/>
      <c r="K17" s="445" t="s">
        <v>3599</v>
      </c>
      <c r="L17" s="444" t="str">
        <f>建築面積_坪&amp;" 坪"</f>
        <v>25.98 坪</v>
      </c>
      <c r="M17" s="350"/>
      <c r="O17" s="952"/>
      <c r="P17" s="953"/>
      <c r="Q17" s="953"/>
      <c r="R17" s="953"/>
      <c r="S17" s="953"/>
      <c r="T17" s="953"/>
      <c r="U17" s="953"/>
      <c r="V17" s="954"/>
      <c r="X17" s="350">
        <v>105</v>
      </c>
    </row>
    <row r="18" spans="2:24" s="358" customFormat="1" ht="7.5" customHeight="1" thickBot="1">
      <c r="H18" s="359"/>
      <c r="O18" s="952"/>
      <c r="P18" s="953"/>
      <c r="Q18" s="953"/>
      <c r="R18" s="953"/>
      <c r="S18" s="953"/>
      <c r="T18" s="953"/>
      <c r="U18" s="953"/>
      <c r="V18" s="954"/>
      <c r="X18" s="358">
        <v>112</v>
      </c>
    </row>
    <row r="19" spans="2:24" ht="20.25" customHeight="1" thickBot="1">
      <c r="B19" s="443"/>
      <c r="C19" s="442" t="s">
        <v>3598</v>
      </c>
      <c r="D19" s="441"/>
      <c r="E19" s="441"/>
      <c r="F19" s="441"/>
      <c r="G19" s="440" t="s">
        <v>3597</v>
      </c>
      <c r="H19" s="439">
        <f ca="1">IF(H17&lt;100,100,H17)</f>
        <v>118.4</v>
      </c>
      <c r="I19" s="438" t="s">
        <v>3479</v>
      </c>
      <c r="J19" s="350"/>
      <c r="M19" s="350"/>
      <c r="O19" s="952"/>
      <c r="P19" s="953"/>
      <c r="Q19" s="953"/>
      <c r="R19" s="953"/>
      <c r="S19" s="953"/>
      <c r="T19" s="953"/>
      <c r="U19" s="953"/>
      <c r="V19" s="954"/>
      <c r="X19" s="350">
        <v>119</v>
      </c>
    </row>
    <row r="20" spans="2:24" s="358" customFormat="1" ht="7.5" customHeight="1" thickBot="1">
      <c r="F20" s="359"/>
      <c r="H20" s="359"/>
      <c r="M20" s="359"/>
      <c r="O20" s="952"/>
      <c r="P20" s="953"/>
      <c r="Q20" s="953"/>
      <c r="R20" s="953"/>
      <c r="S20" s="953"/>
      <c r="T20" s="953"/>
      <c r="U20" s="953"/>
      <c r="V20" s="954"/>
      <c r="X20" s="358">
        <v>126</v>
      </c>
    </row>
    <row r="21" spans="2:24" ht="19.5" customHeight="1">
      <c r="B21" s="964" t="s">
        <v>3596</v>
      </c>
      <c r="C21" s="965"/>
      <c r="D21" s="400" t="s">
        <v>3595</v>
      </c>
      <c r="E21" s="400" t="s">
        <v>3548</v>
      </c>
      <c r="F21" s="400"/>
      <c r="G21" s="400"/>
      <c r="H21" s="400" t="s">
        <v>3547</v>
      </c>
      <c r="I21" s="437"/>
      <c r="J21" s="350"/>
      <c r="K21" s="966" t="s">
        <v>3594</v>
      </c>
      <c r="L21" s="968">
        <f ca="1">ROUNDUP(H19+H35+H56,0)</f>
        <v>134</v>
      </c>
      <c r="M21" s="436" t="s">
        <v>3593</v>
      </c>
      <c r="O21" s="952"/>
      <c r="P21" s="953"/>
      <c r="Q21" s="953"/>
      <c r="R21" s="953"/>
      <c r="S21" s="953"/>
      <c r="T21" s="953"/>
      <c r="U21" s="953"/>
      <c r="V21" s="954"/>
      <c r="X21" s="350">
        <v>133</v>
      </c>
    </row>
    <row r="22" spans="2:24" ht="20.25" customHeight="1" thickBot="1">
      <c r="B22" s="435">
        <v>1</v>
      </c>
      <c r="C22" s="434" t="s">
        <v>3592</v>
      </c>
      <c r="D22" s="433">
        <f ca="1">Class001</f>
        <v>1</v>
      </c>
      <c r="E22" s="432">
        <v>7</v>
      </c>
      <c r="F22" s="431"/>
      <c r="G22" s="430"/>
      <c r="H22" s="429">
        <f t="shared" ref="H22:H34" ca="1" si="0">IF(D22=1,E22,0)</f>
        <v>7</v>
      </c>
      <c r="I22" s="428" t="s">
        <v>3479</v>
      </c>
      <c r="J22" s="350"/>
      <c r="K22" s="967"/>
      <c r="L22" s="969"/>
      <c r="M22" s="411" t="s">
        <v>3479</v>
      </c>
      <c r="O22" s="955"/>
      <c r="P22" s="956"/>
      <c r="Q22" s="956"/>
      <c r="R22" s="956"/>
      <c r="S22" s="956"/>
      <c r="T22" s="956"/>
      <c r="U22" s="956"/>
      <c r="V22" s="957"/>
      <c r="X22" s="350">
        <v>140</v>
      </c>
    </row>
    <row r="23" spans="2:24" ht="20.25" customHeight="1" thickBot="1">
      <c r="B23" s="419">
        <v>2</v>
      </c>
      <c r="C23" s="422" t="s">
        <v>3591</v>
      </c>
      <c r="D23" s="417">
        <f ca="1">Class002</f>
        <v>0</v>
      </c>
      <c r="E23" s="416">
        <v>5</v>
      </c>
      <c r="F23" s="415"/>
      <c r="G23" s="414"/>
      <c r="H23" s="413">
        <f t="shared" ca="1" si="0"/>
        <v>0</v>
      </c>
      <c r="I23" s="412" t="s">
        <v>3479</v>
      </c>
      <c r="J23" s="350"/>
      <c r="L23" s="401" t="s">
        <v>3590</v>
      </c>
      <c r="X23" s="350">
        <v>147</v>
      </c>
    </row>
    <row r="24" spans="2:24" ht="19.5" customHeight="1">
      <c r="B24" s="419">
        <v>3</v>
      </c>
      <c r="C24" s="422" t="s">
        <v>3589</v>
      </c>
      <c r="D24" s="417">
        <f ca="1">Class003</f>
        <v>0</v>
      </c>
      <c r="E24" s="416">
        <v>5</v>
      </c>
      <c r="F24" s="415"/>
      <c r="G24" s="414"/>
      <c r="H24" s="413">
        <f t="shared" ca="1" si="0"/>
        <v>0</v>
      </c>
      <c r="I24" s="412" t="s">
        <v>3479</v>
      </c>
      <c r="J24" s="350"/>
      <c r="K24" s="972" t="s">
        <v>3588</v>
      </c>
      <c r="L24" s="973">
        <f>着工予定日</f>
        <v>45896</v>
      </c>
      <c r="M24" s="420" t="str">
        <f>TEXT(L24,"AAA")</f>
        <v>水</v>
      </c>
      <c r="O24" s="975" t="s">
        <v>3587</v>
      </c>
      <c r="P24" s="976"/>
      <c r="Q24" s="977"/>
      <c r="R24" s="975" t="s">
        <v>3586</v>
      </c>
      <c r="S24" s="976"/>
      <c r="T24" s="978"/>
      <c r="U24" s="427"/>
      <c r="X24" s="350">
        <v>154</v>
      </c>
    </row>
    <row r="25" spans="2:24" ht="20.25" customHeight="1" thickBot="1">
      <c r="B25" s="419">
        <v>4</v>
      </c>
      <c r="C25" s="422" t="s">
        <v>3585</v>
      </c>
      <c r="D25" s="417">
        <f ca="1">IF(Class004=1,1,0)</f>
        <v>0</v>
      </c>
      <c r="E25" s="416">
        <v>5</v>
      </c>
      <c r="F25" s="415"/>
      <c r="G25" s="414"/>
      <c r="H25" s="413">
        <f t="shared" ca="1" si="0"/>
        <v>0</v>
      </c>
      <c r="I25" s="412" t="s">
        <v>3479</v>
      </c>
      <c r="J25" s="350"/>
      <c r="K25" s="967"/>
      <c r="L25" s="974"/>
      <c r="M25" s="411" t="str">
        <f>VLOOKUP(L24,六曜テーブル[#Data],3)</f>
        <v>大安</v>
      </c>
      <c r="O25" s="398">
        <f>L24+30</f>
        <v>45926</v>
      </c>
      <c r="P25" s="397" t="str">
        <f t="shared" ref="P25:P39" si="1">TEXT(O25,"AAA")</f>
        <v>金</v>
      </c>
      <c r="Q25" s="399" t="str">
        <f>VLOOKUP(O25,六曜テーブル[#Data],3)</f>
        <v>赤口</v>
      </c>
      <c r="R25" s="398">
        <f ca="1">L24+L21+L27</f>
        <v>46040</v>
      </c>
      <c r="S25" s="397" t="str">
        <f t="shared" ref="S25:S39" ca="1" si="2">TEXT(R25,"AAA")</f>
        <v>日</v>
      </c>
      <c r="T25" s="396" t="str">
        <f ca="1">VLOOKUP(R25,六曜テーブル[#Data],3)</f>
        <v>仏滅</v>
      </c>
      <c r="U25" s="395" t="s">
        <v>3584</v>
      </c>
      <c r="X25" s="350">
        <v>161</v>
      </c>
    </row>
    <row r="26" spans="2:24" ht="20.25" customHeight="1" thickBot="1">
      <c r="B26" s="419">
        <v>5</v>
      </c>
      <c r="C26" s="422" t="s">
        <v>3583</v>
      </c>
      <c r="D26" s="417">
        <f ca="1">IF(Class004=2,1,0)</f>
        <v>0</v>
      </c>
      <c r="E26" s="416">
        <v>10</v>
      </c>
      <c r="F26" s="415"/>
      <c r="G26" s="414"/>
      <c r="H26" s="413">
        <f t="shared" ca="1" si="0"/>
        <v>0</v>
      </c>
      <c r="I26" s="412" t="s">
        <v>3479</v>
      </c>
      <c r="J26" s="350"/>
      <c r="L26" s="401" t="s">
        <v>3582</v>
      </c>
      <c r="O26" s="398">
        <f t="shared" ref="O26:O39" si="3">O25+1</f>
        <v>45927</v>
      </c>
      <c r="P26" s="397" t="str">
        <f t="shared" si="1"/>
        <v>土</v>
      </c>
      <c r="Q26" s="399" t="str">
        <f>VLOOKUP(O26,六曜テーブル[#Data],3)</f>
        <v>先勝</v>
      </c>
      <c r="R26" s="398">
        <f t="shared" ref="R26:R39" ca="1" si="4">R25+1</f>
        <v>46041</v>
      </c>
      <c r="S26" s="397" t="str">
        <f t="shared" ca="1" si="2"/>
        <v>月</v>
      </c>
      <c r="T26" s="396" t="str">
        <f ca="1">VLOOKUP(R26,六曜テーブル[#Data],3)</f>
        <v>赤口</v>
      </c>
      <c r="U26" s="395" t="s">
        <v>3581</v>
      </c>
      <c r="X26" s="350">
        <v>168</v>
      </c>
    </row>
    <row r="27" spans="2:24" ht="20.25" thickBot="1">
      <c r="B27" s="419">
        <v>6</v>
      </c>
      <c r="C27" s="426" t="s">
        <v>3580</v>
      </c>
      <c r="D27" s="417">
        <f ca="1">Class005</f>
        <v>0</v>
      </c>
      <c r="E27" s="416">
        <v>10</v>
      </c>
      <c r="F27" s="415"/>
      <c r="G27" s="414"/>
      <c r="H27" s="413">
        <f t="shared" ca="1" si="0"/>
        <v>0</v>
      </c>
      <c r="I27" s="412" t="s">
        <v>3579</v>
      </c>
      <c r="J27" s="350"/>
      <c r="K27" s="425" t="s">
        <v>3578</v>
      </c>
      <c r="L27" s="424">
        <f ca="1">NumH</f>
        <v>10</v>
      </c>
      <c r="M27" s="423" t="s">
        <v>3565</v>
      </c>
      <c r="O27" s="398">
        <f t="shared" si="3"/>
        <v>45928</v>
      </c>
      <c r="P27" s="397" t="str">
        <f t="shared" si="1"/>
        <v>日</v>
      </c>
      <c r="Q27" s="399" t="str">
        <f>VLOOKUP(O27,六曜テーブル[#Data],3)</f>
        <v>友引</v>
      </c>
      <c r="R27" s="398">
        <f t="shared" ca="1" si="4"/>
        <v>46042</v>
      </c>
      <c r="S27" s="397" t="str">
        <f t="shared" ca="1" si="2"/>
        <v>火</v>
      </c>
      <c r="T27" s="396" t="str">
        <f ca="1">VLOOKUP(R27,六曜テーブル[#Data],3)</f>
        <v>先勝</v>
      </c>
      <c r="U27" s="395" t="s">
        <v>3577</v>
      </c>
      <c r="X27" s="350">
        <v>175</v>
      </c>
    </row>
    <row r="28" spans="2:24">
      <c r="B28" s="419">
        <v>7</v>
      </c>
      <c r="C28" s="422" t="s">
        <v>3576</v>
      </c>
      <c r="D28" s="417">
        <f ca="1">Class006</f>
        <v>0</v>
      </c>
      <c r="E28" s="416">
        <v>3</v>
      </c>
      <c r="F28" s="415"/>
      <c r="G28" s="414"/>
      <c r="H28" s="413">
        <f t="shared" ca="1" si="0"/>
        <v>0</v>
      </c>
      <c r="I28" s="412" t="s">
        <v>3479</v>
      </c>
      <c r="J28" s="350"/>
      <c r="K28" s="972" t="s">
        <v>3575</v>
      </c>
      <c r="L28" s="973">
        <f ca="1">L24+30+L27</f>
        <v>45936</v>
      </c>
      <c r="M28" s="420" t="str">
        <f ca="1">TEXT(L28,"AAA")</f>
        <v>月</v>
      </c>
      <c r="O28" s="398">
        <f t="shared" si="3"/>
        <v>45929</v>
      </c>
      <c r="P28" s="397" t="str">
        <f t="shared" si="1"/>
        <v>月</v>
      </c>
      <c r="Q28" s="399" t="str">
        <f>VLOOKUP(O28,六曜テーブル[#Data],3)</f>
        <v>先負</v>
      </c>
      <c r="R28" s="398">
        <f t="shared" ca="1" si="4"/>
        <v>46043</v>
      </c>
      <c r="S28" s="397" t="str">
        <f t="shared" ca="1" si="2"/>
        <v>水</v>
      </c>
      <c r="T28" s="396" t="str">
        <f ca="1">VLOOKUP(R28,六曜テーブル[#Data],3)</f>
        <v>友引</v>
      </c>
      <c r="U28" s="395" t="s">
        <v>3574</v>
      </c>
      <c r="X28" s="350">
        <v>182</v>
      </c>
    </row>
    <row r="29" spans="2:24" ht="20.25" thickBot="1">
      <c r="B29" s="419">
        <v>8</v>
      </c>
      <c r="C29" s="422" t="s">
        <v>3573</v>
      </c>
      <c r="D29" s="417">
        <f ca="1">Class007</f>
        <v>0</v>
      </c>
      <c r="E29" s="416">
        <v>5</v>
      </c>
      <c r="F29" s="415"/>
      <c r="G29" s="414"/>
      <c r="H29" s="413">
        <f t="shared" ca="1" si="0"/>
        <v>0</v>
      </c>
      <c r="I29" s="412" t="s">
        <v>3479</v>
      </c>
      <c r="J29" s="350"/>
      <c r="K29" s="967"/>
      <c r="L29" s="974"/>
      <c r="M29" s="411" t="str">
        <f ca="1">VLOOKUP(L28,六曜テーブル[#Data],3)</f>
        <v>仏滅</v>
      </c>
      <c r="O29" s="398">
        <f t="shared" si="3"/>
        <v>45930</v>
      </c>
      <c r="P29" s="397" t="str">
        <f t="shared" si="1"/>
        <v>火</v>
      </c>
      <c r="Q29" s="399" t="str">
        <f>VLOOKUP(O29,六曜テーブル[#Data],3)</f>
        <v>仏滅</v>
      </c>
      <c r="R29" s="398">
        <f t="shared" ca="1" si="4"/>
        <v>46044</v>
      </c>
      <c r="S29" s="397" t="str">
        <f t="shared" ca="1" si="2"/>
        <v>木</v>
      </c>
      <c r="T29" s="396" t="str">
        <f ca="1">VLOOKUP(R29,六曜テーブル[#Data],3)</f>
        <v>先負</v>
      </c>
      <c r="U29" s="395" t="s">
        <v>3572</v>
      </c>
      <c r="X29" s="350">
        <v>189</v>
      </c>
    </row>
    <row r="30" spans="2:24" ht="20.25" thickBot="1">
      <c r="B30" s="419">
        <v>9</v>
      </c>
      <c r="C30" s="422" t="s">
        <v>3571</v>
      </c>
      <c r="D30" s="417">
        <f ca="1">IF(F30&gt;0,1,0)</f>
        <v>0</v>
      </c>
      <c r="E30" s="416">
        <f ca="1">F30*1</f>
        <v>0</v>
      </c>
      <c r="F30" s="417">
        <f ca="1">Num007_</f>
        <v>0</v>
      </c>
      <c r="G30" s="421" t="s">
        <v>3570</v>
      </c>
      <c r="H30" s="413">
        <f t="shared" ca="1" si="0"/>
        <v>0</v>
      </c>
      <c r="I30" s="412" t="s">
        <v>3479</v>
      </c>
      <c r="J30" s="350"/>
      <c r="L30" s="401" t="s">
        <v>3569</v>
      </c>
      <c r="O30" s="398">
        <f t="shared" si="3"/>
        <v>45931</v>
      </c>
      <c r="P30" s="397" t="str">
        <f t="shared" si="1"/>
        <v>水</v>
      </c>
      <c r="Q30" s="399" t="str">
        <f>VLOOKUP(O30,六曜テーブル[#Data],3)</f>
        <v>大安</v>
      </c>
      <c r="R30" s="398">
        <f t="shared" ca="1" si="4"/>
        <v>46045</v>
      </c>
      <c r="S30" s="397" t="str">
        <f t="shared" ca="1" si="2"/>
        <v>金</v>
      </c>
      <c r="T30" s="396" t="str">
        <f ca="1">VLOOKUP(R30,六曜テーブル[#Data],3)</f>
        <v>仏滅</v>
      </c>
      <c r="U30" s="395" t="s">
        <v>3568</v>
      </c>
      <c r="X30" s="350">
        <v>196</v>
      </c>
    </row>
    <row r="31" spans="2:24" ht="20.25" thickBot="1">
      <c r="B31" s="419">
        <v>10</v>
      </c>
      <c r="C31" s="422" t="s">
        <v>3567</v>
      </c>
      <c r="D31" s="417">
        <f ca="1">IF(F31&gt;0,1,0)</f>
        <v>0</v>
      </c>
      <c r="E31" s="416">
        <f ca="1">F31*0.3</f>
        <v>0</v>
      </c>
      <c r="F31" s="417">
        <f ca="1">Num008_</f>
        <v>0</v>
      </c>
      <c r="G31" s="421" t="s">
        <v>3562</v>
      </c>
      <c r="H31" s="413">
        <f t="shared" ca="1" si="0"/>
        <v>0</v>
      </c>
      <c r="I31" s="412" t="s">
        <v>3479</v>
      </c>
      <c r="J31" s="350"/>
      <c r="K31" s="425" t="s">
        <v>3566</v>
      </c>
      <c r="L31" s="424">
        <f ca="1">NumI</f>
        <v>0</v>
      </c>
      <c r="M31" s="423" t="s">
        <v>3565</v>
      </c>
      <c r="O31" s="398">
        <f t="shared" si="3"/>
        <v>45932</v>
      </c>
      <c r="P31" s="397" t="str">
        <f t="shared" si="1"/>
        <v>木</v>
      </c>
      <c r="Q31" s="399" t="str">
        <f>VLOOKUP(O31,六曜テーブル[#Data],3)</f>
        <v>赤口</v>
      </c>
      <c r="R31" s="398">
        <f t="shared" ca="1" si="4"/>
        <v>46046</v>
      </c>
      <c r="S31" s="397" t="str">
        <f t="shared" ca="1" si="2"/>
        <v>土</v>
      </c>
      <c r="T31" s="396" t="str">
        <f ca="1">VLOOKUP(R31,六曜テーブル[#Data],3)</f>
        <v>大安</v>
      </c>
      <c r="U31" s="395" t="s">
        <v>3564</v>
      </c>
      <c r="X31" s="350">
        <v>203</v>
      </c>
    </row>
    <row r="32" spans="2:24">
      <c r="B32" s="419">
        <v>11</v>
      </c>
      <c r="C32" s="422" t="s">
        <v>3563</v>
      </c>
      <c r="D32" s="417">
        <f ca="1">IF(F32&gt;0,1,0)</f>
        <v>0</v>
      </c>
      <c r="E32" s="416">
        <f ca="1">F32*1</f>
        <v>0</v>
      </c>
      <c r="F32" s="417">
        <f ca="1">Num009_</f>
        <v>0</v>
      </c>
      <c r="G32" s="421" t="s">
        <v>3562</v>
      </c>
      <c r="H32" s="413">
        <f t="shared" ca="1" si="0"/>
        <v>0</v>
      </c>
      <c r="I32" s="412" t="s">
        <v>3479</v>
      </c>
      <c r="J32" s="350"/>
      <c r="K32" s="972" t="s">
        <v>3561</v>
      </c>
      <c r="L32" s="973">
        <f ca="1">L24+L21+L31+L27</f>
        <v>46040</v>
      </c>
      <c r="M32" s="420" t="str">
        <f ca="1">TEXT(L32,"AAA")</f>
        <v>日</v>
      </c>
      <c r="O32" s="398">
        <f t="shared" si="3"/>
        <v>45933</v>
      </c>
      <c r="P32" s="397" t="str">
        <f t="shared" si="1"/>
        <v>金</v>
      </c>
      <c r="Q32" s="399" t="str">
        <f>VLOOKUP(O32,六曜テーブル[#Data],3)</f>
        <v>先勝</v>
      </c>
      <c r="R32" s="398">
        <f t="shared" ca="1" si="4"/>
        <v>46047</v>
      </c>
      <c r="S32" s="397" t="str">
        <f t="shared" ca="1" si="2"/>
        <v>日</v>
      </c>
      <c r="T32" s="396" t="str">
        <f ca="1">VLOOKUP(R32,六曜テーブル[#Data],3)</f>
        <v>赤口</v>
      </c>
      <c r="U32" s="395" t="s">
        <v>3560</v>
      </c>
      <c r="X32" s="350">
        <v>210</v>
      </c>
    </row>
    <row r="33" spans="1:24" ht="20.25" thickBot="1">
      <c r="B33" s="419">
        <v>12</v>
      </c>
      <c r="C33" s="418" t="s">
        <v>3559</v>
      </c>
      <c r="D33" s="417">
        <f ca="1">Class008</f>
        <v>1</v>
      </c>
      <c r="E33" s="416">
        <v>2</v>
      </c>
      <c r="F33" s="415"/>
      <c r="G33" s="414"/>
      <c r="H33" s="413">
        <f t="shared" ca="1" si="0"/>
        <v>2</v>
      </c>
      <c r="I33" s="412" t="s">
        <v>3479</v>
      </c>
      <c r="J33" s="350"/>
      <c r="K33" s="967"/>
      <c r="L33" s="974"/>
      <c r="M33" s="411" t="str">
        <f ca="1">VLOOKUP(L32,六曜テーブル[#Data],3)</f>
        <v>仏滅</v>
      </c>
      <c r="O33" s="398">
        <f t="shared" si="3"/>
        <v>45934</v>
      </c>
      <c r="P33" s="397" t="str">
        <f t="shared" si="1"/>
        <v>土</v>
      </c>
      <c r="Q33" s="399" t="str">
        <f>VLOOKUP(O33,六曜テーブル[#Data],3)</f>
        <v>友引</v>
      </c>
      <c r="R33" s="398">
        <f t="shared" ca="1" si="4"/>
        <v>46048</v>
      </c>
      <c r="S33" s="397" t="str">
        <f t="shared" ca="1" si="2"/>
        <v>月</v>
      </c>
      <c r="T33" s="396" t="str">
        <f ca="1">VLOOKUP(R33,六曜テーブル[#Data],3)</f>
        <v>先勝</v>
      </c>
      <c r="U33" s="395" t="s">
        <v>3558</v>
      </c>
      <c r="X33" s="350">
        <v>217</v>
      </c>
    </row>
    <row r="34" spans="1:24">
      <c r="B34" s="410">
        <v>13</v>
      </c>
      <c r="C34" s="409" t="s">
        <v>3557</v>
      </c>
      <c r="D34" s="417">
        <f ca="1">Class009</f>
        <v>0</v>
      </c>
      <c r="E34" s="408">
        <v>10</v>
      </c>
      <c r="F34" s="407"/>
      <c r="G34" s="406"/>
      <c r="H34" s="405">
        <f t="shared" ca="1" si="0"/>
        <v>0</v>
      </c>
      <c r="I34" s="404" t="s">
        <v>3479</v>
      </c>
      <c r="J34" s="350"/>
      <c r="L34" s="401" t="s">
        <v>3556</v>
      </c>
      <c r="O34" s="398">
        <f t="shared" si="3"/>
        <v>45935</v>
      </c>
      <c r="P34" s="397" t="str">
        <f t="shared" si="1"/>
        <v>日</v>
      </c>
      <c r="Q34" s="399" t="str">
        <f>VLOOKUP(O34,六曜テーブル[#Data],3)</f>
        <v>先負</v>
      </c>
      <c r="R34" s="398">
        <f t="shared" ca="1" si="4"/>
        <v>46049</v>
      </c>
      <c r="S34" s="397" t="str">
        <f t="shared" ca="1" si="2"/>
        <v>火</v>
      </c>
      <c r="T34" s="396" t="str">
        <f ca="1">VLOOKUP(R34,六曜テーブル[#Data],3)</f>
        <v>友引</v>
      </c>
      <c r="U34" s="395" t="s">
        <v>3555</v>
      </c>
      <c r="X34" s="350">
        <v>224</v>
      </c>
    </row>
    <row r="35" spans="1:24" s="358" customFormat="1" ht="20.25" thickBot="1">
      <c r="A35" s="357"/>
      <c r="B35" s="979" t="s">
        <v>3554</v>
      </c>
      <c r="C35" s="980"/>
      <c r="D35" s="980"/>
      <c r="E35" s="980"/>
      <c r="F35" s="980"/>
      <c r="G35" s="364" t="s">
        <v>3553</v>
      </c>
      <c r="H35" s="403">
        <f ca="1">SUM(H22:H34)</f>
        <v>9</v>
      </c>
      <c r="I35" s="402" t="s">
        <v>3479</v>
      </c>
      <c r="J35" s="350"/>
      <c r="K35" s="350"/>
      <c r="L35" s="401"/>
      <c r="M35" s="355"/>
      <c r="N35" s="350"/>
      <c r="O35" s="398">
        <f t="shared" si="3"/>
        <v>45936</v>
      </c>
      <c r="P35" s="397" t="str">
        <f t="shared" si="1"/>
        <v>月</v>
      </c>
      <c r="Q35" s="399" t="str">
        <f>VLOOKUP(O35,六曜テーブル[#Data],3)</f>
        <v>仏滅</v>
      </c>
      <c r="R35" s="398">
        <f t="shared" ca="1" si="4"/>
        <v>46050</v>
      </c>
      <c r="S35" s="397" t="str">
        <f t="shared" ca="1" si="2"/>
        <v>水</v>
      </c>
      <c r="T35" s="396" t="str">
        <f ca="1">VLOOKUP(R35,六曜テーブル[#Data],3)</f>
        <v>先負</v>
      </c>
      <c r="U35" s="395" t="s">
        <v>3552</v>
      </c>
      <c r="X35" s="358">
        <v>231</v>
      </c>
    </row>
    <row r="36" spans="1:24" ht="15" thickBot="1">
      <c r="A36" s="358"/>
      <c r="B36" s="358"/>
      <c r="C36" s="358"/>
      <c r="D36" s="358"/>
      <c r="E36" s="358"/>
      <c r="F36" s="359"/>
      <c r="G36" s="358"/>
      <c r="H36" s="359"/>
      <c r="I36" s="358"/>
      <c r="J36" s="358"/>
      <c r="K36" s="358"/>
      <c r="L36" s="358"/>
      <c r="M36" s="359"/>
      <c r="N36" s="358"/>
      <c r="O36" s="398">
        <f t="shared" si="3"/>
        <v>45937</v>
      </c>
      <c r="P36" s="397" t="str">
        <f t="shared" si="1"/>
        <v>火</v>
      </c>
      <c r="Q36" s="399" t="str">
        <f>VLOOKUP(O36,六曜テーブル[#Data],3)</f>
        <v>大安</v>
      </c>
      <c r="R36" s="398">
        <f t="shared" ca="1" si="4"/>
        <v>46051</v>
      </c>
      <c r="S36" s="397" t="str">
        <f t="shared" ca="1" si="2"/>
        <v>木</v>
      </c>
      <c r="T36" s="396" t="str">
        <f ca="1">VLOOKUP(R36,六曜テーブル[#Data],3)</f>
        <v>仏滅</v>
      </c>
      <c r="U36" s="395" t="s">
        <v>3551</v>
      </c>
    </row>
    <row r="37" spans="1:24">
      <c r="B37" s="964" t="s">
        <v>3550</v>
      </c>
      <c r="C37" s="965"/>
      <c r="D37" s="400" t="s">
        <v>3549</v>
      </c>
      <c r="E37" s="400"/>
      <c r="F37" s="400" t="s">
        <v>3548</v>
      </c>
      <c r="G37" s="400"/>
      <c r="H37" s="400" t="s">
        <v>3547</v>
      </c>
      <c r="I37" s="400"/>
      <c r="J37" s="994" t="s">
        <v>3546</v>
      </c>
      <c r="K37" s="995"/>
      <c r="L37" s="996"/>
      <c r="O37" s="398">
        <f t="shared" si="3"/>
        <v>45938</v>
      </c>
      <c r="P37" s="397" t="str">
        <f t="shared" si="1"/>
        <v>水</v>
      </c>
      <c r="Q37" s="399" t="str">
        <f>VLOOKUP(O37,六曜テーブル[#Data],3)</f>
        <v>赤口</v>
      </c>
      <c r="R37" s="398">
        <f t="shared" ca="1" si="4"/>
        <v>46052</v>
      </c>
      <c r="S37" s="397" t="str">
        <f t="shared" ca="1" si="2"/>
        <v>金</v>
      </c>
      <c r="T37" s="396" t="str">
        <f ca="1">VLOOKUP(R37,六曜テーブル[#Data],3)</f>
        <v>大安</v>
      </c>
      <c r="U37" s="395" t="s">
        <v>3545</v>
      </c>
    </row>
    <row r="38" spans="1:24">
      <c r="B38" s="997" t="s">
        <v>3544</v>
      </c>
      <c r="C38" s="389" t="s">
        <v>3543</v>
      </c>
      <c r="D38" s="388">
        <f ca="1">Num021_</f>
        <v>1</v>
      </c>
      <c r="E38" s="387" t="s">
        <v>3526</v>
      </c>
      <c r="F38" s="386">
        <v>1</v>
      </c>
      <c r="G38" s="385"/>
      <c r="H38" s="384">
        <f t="shared" ref="H38:H55" ca="1" si="5">IF(D38&gt;0,D38*F38,0)</f>
        <v>1</v>
      </c>
      <c r="I38" s="383" t="s">
        <v>3479</v>
      </c>
      <c r="J38" s="986" t="s">
        <v>3542</v>
      </c>
      <c r="K38" s="987"/>
      <c r="L38" s="382" t="s">
        <v>3541</v>
      </c>
      <c r="O38" s="398">
        <f t="shared" si="3"/>
        <v>45939</v>
      </c>
      <c r="P38" s="397" t="str">
        <f t="shared" si="1"/>
        <v>木</v>
      </c>
      <c r="Q38" s="399" t="str">
        <f>VLOOKUP(O38,六曜テーブル[#Data],3)</f>
        <v>先勝</v>
      </c>
      <c r="R38" s="398">
        <f t="shared" ca="1" si="4"/>
        <v>46053</v>
      </c>
      <c r="S38" s="397" t="str">
        <f t="shared" ca="1" si="2"/>
        <v>土</v>
      </c>
      <c r="T38" s="396" t="str">
        <f ca="1">VLOOKUP(R38,六曜テーブル[#Data],3)</f>
        <v>赤口</v>
      </c>
      <c r="U38" s="395" t="s">
        <v>3540</v>
      </c>
    </row>
    <row r="39" spans="1:24" ht="20.25" thickBot="1">
      <c r="B39" s="998"/>
      <c r="C39" s="380" t="s">
        <v>3539</v>
      </c>
      <c r="D39" s="379">
        <f ca="1">Num022_</f>
        <v>0</v>
      </c>
      <c r="E39" s="378" t="s">
        <v>3488</v>
      </c>
      <c r="F39" s="377">
        <v>0.2</v>
      </c>
      <c r="G39" s="376"/>
      <c r="H39" s="375">
        <f t="shared" ca="1" si="5"/>
        <v>0</v>
      </c>
      <c r="I39" s="374" t="s">
        <v>3479</v>
      </c>
      <c r="J39" s="988" t="s">
        <v>3538</v>
      </c>
      <c r="K39" s="989"/>
      <c r="L39" s="373" t="s">
        <v>3537</v>
      </c>
      <c r="O39" s="393">
        <f t="shared" si="3"/>
        <v>45940</v>
      </c>
      <c r="P39" s="392" t="str">
        <f t="shared" si="1"/>
        <v>金</v>
      </c>
      <c r="Q39" s="394" t="str">
        <f>VLOOKUP(O39,六曜テーブル[#Data],3)</f>
        <v>友引</v>
      </c>
      <c r="R39" s="393">
        <f t="shared" ca="1" si="4"/>
        <v>46054</v>
      </c>
      <c r="S39" s="392" t="str">
        <f t="shared" ca="1" si="2"/>
        <v>日</v>
      </c>
      <c r="T39" s="391" t="str">
        <f ca="1">VLOOKUP(R39,六曜テーブル[#Data],3)</f>
        <v>先勝</v>
      </c>
      <c r="U39" s="390" t="s">
        <v>3536</v>
      </c>
    </row>
    <row r="40" spans="1:24">
      <c r="B40" s="998"/>
      <c r="C40" s="380" t="s">
        <v>3535</v>
      </c>
      <c r="D40" s="379">
        <f ca="1">Num023_</f>
        <v>0</v>
      </c>
      <c r="E40" s="378" t="s">
        <v>3526</v>
      </c>
      <c r="F40" s="377">
        <v>2</v>
      </c>
      <c r="G40" s="376"/>
      <c r="H40" s="375">
        <f t="shared" ca="1" si="5"/>
        <v>0</v>
      </c>
      <c r="I40" s="374" t="s">
        <v>3479</v>
      </c>
      <c r="J40" s="988" t="s">
        <v>3534</v>
      </c>
      <c r="K40" s="989"/>
      <c r="L40" s="373" t="s">
        <v>3533</v>
      </c>
    </row>
    <row r="41" spans="1:24" ht="19.5" customHeight="1">
      <c r="B41" s="999"/>
      <c r="C41" s="372" t="s">
        <v>3532</v>
      </c>
      <c r="D41" s="371">
        <f ca="1">Num024_</f>
        <v>0</v>
      </c>
      <c r="E41" s="370" t="s">
        <v>3531</v>
      </c>
      <c r="F41" s="369">
        <v>1</v>
      </c>
      <c r="G41" s="368"/>
      <c r="H41" s="367">
        <f t="shared" ca="1" si="5"/>
        <v>0</v>
      </c>
      <c r="I41" s="366" t="s">
        <v>3479</v>
      </c>
      <c r="J41" s="992" t="s">
        <v>3530</v>
      </c>
      <c r="K41" s="993"/>
      <c r="L41" s="365" t="s">
        <v>3529</v>
      </c>
    </row>
    <row r="42" spans="1:24">
      <c r="B42" s="983" t="s">
        <v>3528</v>
      </c>
      <c r="C42" s="389" t="s">
        <v>3527</v>
      </c>
      <c r="D42" s="388">
        <f ca="1">Num031_</f>
        <v>0</v>
      </c>
      <c r="E42" s="387" t="s">
        <v>3526</v>
      </c>
      <c r="F42" s="386">
        <v>1</v>
      </c>
      <c r="G42" s="385"/>
      <c r="H42" s="384">
        <f t="shared" ca="1" si="5"/>
        <v>0</v>
      </c>
      <c r="I42" s="383" t="s">
        <v>3479</v>
      </c>
      <c r="J42" s="986" t="s">
        <v>3525</v>
      </c>
      <c r="K42" s="987"/>
      <c r="L42" s="382" t="s">
        <v>3524</v>
      </c>
    </row>
    <row r="43" spans="1:24">
      <c r="B43" s="984"/>
      <c r="C43" s="380" t="s">
        <v>3523</v>
      </c>
      <c r="D43" s="381">
        <f ca="1">Num032_</f>
        <v>0</v>
      </c>
      <c r="E43" s="378" t="s">
        <v>3513</v>
      </c>
      <c r="F43" s="377">
        <v>0.7</v>
      </c>
      <c r="G43" s="376"/>
      <c r="H43" s="375">
        <f t="shared" ca="1" si="5"/>
        <v>0</v>
      </c>
      <c r="I43" s="374" t="s">
        <v>3479</v>
      </c>
      <c r="J43" s="988" t="s">
        <v>3522</v>
      </c>
      <c r="K43" s="989"/>
      <c r="L43" s="373" t="s">
        <v>3521</v>
      </c>
    </row>
    <row r="44" spans="1:24">
      <c r="B44" s="984"/>
      <c r="C44" s="380" t="s">
        <v>3520</v>
      </c>
      <c r="D44" s="379">
        <f ca="1">Num033_</f>
        <v>9</v>
      </c>
      <c r="E44" s="378" t="s">
        <v>3513</v>
      </c>
      <c r="F44" s="377">
        <v>0.2</v>
      </c>
      <c r="G44" s="376"/>
      <c r="H44" s="375">
        <f t="shared" ca="1" si="5"/>
        <v>1.8</v>
      </c>
      <c r="I44" s="374" t="s">
        <v>3479</v>
      </c>
      <c r="J44" s="988" t="s">
        <v>3519</v>
      </c>
      <c r="K44" s="989"/>
      <c r="L44" s="373" t="s">
        <v>3518</v>
      </c>
    </row>
    <row r="45" spans="1:24">
      <c r="B45" s="984"/>
      <c r="C45" s="380" t="s">
        <v>3517</v>
      </c>
      <c r="D45" s="379">
        <f ca="1">Num034_</f>
        <v>0</v>
      </c>
      <c r="E45" s="378" t="s">
        <v>3492</v>
      </c>
      <c r="F45" s="377">
        <v>0.5</v>
      </c>
      <c r="G45" s="376"/>
      <c r="H45" s="375">
        <f t="shared" ca="1" si="5"/>
        <v>0</v>
      </c>
      <c r="I45" s="374" t="s">
        <v>3479</v>
      </c>
      <c r="J45" s="988" t="s">
        <v>3516</v>
      </c>
      <c r="K45" s="989"/>
      <c r="L45" s="373" t="s">
        <v>3515</v>
      </c>
    </row>
    <row r="46" spans="1:24">
      <c r="B46" s="984"/>
      <c r="C46" s="380" t="s">
        <v>3514</v>
      </c>
      <c r="D46" s="379">
        <f ca="1">Num035_</f>
        <v>0</v>
      </c>
      <c r="E46" s="378" t="s">
        <v>3513</v>
      </c>
      <c r="F46" s="377">
        <v>0.1</v>
      </c>
      <c r="G46" s="376"/>
      <c r="H46" s="375">
        <f t="shared" ca="1" si="5"/>
        <v>0</v>
      </c>
      <c r="I46" s="374" t="s">
        <v>3479</v>
      </c>
      <c r="J46" s="988" t="s">
        <v>3512</v>
      </c>
      <c r="K46" s="989"/>
      <c r="L46" s="373" t="s">
        <v>3511</v>
      </c>
    </row>
    <row r="47" spans="1:24">
      <c r="B47" s="984"/>
      <c r="C47" s="380" t="s">
        <v>3510</v>
      </c>
      <c r="D47" s="379">
        <f ca="1">Num036_</f>
        <v>0</v>
      </c>
      <c r="E47" s="378" t="s">
        <v>3492</v>
      </c>
      <c r="F47" s="377">
        <v>1</v>
      </c>
      <c r="G47" s="376"/>
      <c r="H47" s="375">
        <f t="shared" ca="1" si="5"/>
        <v>0</v>
      </c>
      <c r="I47" s="374" t="s">
        <v>3479</v>
      </c>
      <c r="J47" s="988" t="s">
        <v>3509</v>
      </c>
      <c r="K47" s="989"/>
      <c r="L47" s="373" t="s">
        <v>3508</v>
      </c>
    </row>
    <row r="48" spans="1:24">
      <c r="B48" s="984"/>
      <c r="C48" s="380" t="s">
        <v>3507</v>
      </c>
      <c r="D48" s="379">
        <f ca="1">Num037_</f>
        <v>0</v>
      </c>
      <c r="E48" s="378" t="s">
        <v>3506</v>
      </c>
      <c r="F48" s="377">
        <v>1</v>
      </c>
      <c r="G48" s="376"/>
      <c r="H48" s="375">
        <f t="shared" ca="1" si="5"/>
        <v>0</v>
      </c>
      <c r="I48" s="374" t="s">
        <v>3479</v>
      </c>
      <c r="J48" s="988" t="s">
        <v>3505</v>
      </c>
      <c r="K48" s="989"/>
      <c r="L48" s="373" t="s">
        <v>3504</v>
      </c>
    </row>
    <row r="49" spans="1:20">
      <c r="B49" s="984"/>
      <c r="C49" s="380" t="s">
        <v>3503</v>
      </c>
      <c r="D49" s="379">
        <f ca="1">Num038_</f>
        <v>0</v>
      </c>
      <c r="E49" s="378" t="s">
        <v>3492</v>
      </c>
      <c r="F49" s="377">
        <v>1</v>
      </c>
      <c r="G49" s="376"/>
      <c r="H49" s="375">
        <f t="shared" ca="1" si="5"/>
        <v>0</v>
      </c>
      <c r="I49" s="374" t="s">
        <v>3479</v>
      </c>
      <c r="J49" s="988" t="s">
        <v>3502</v>
      </c>
      <c r="K49" s="989"/>
      <c r="L49" s="373" t="s">
        <v>3501</v>
      </c>
    </row>
    <row r="50" spans="1:20">
      <c r="B50" s="984"/>
      <c r="C50" s="380" t="s">
        <v>3500</v>
      </c>
      <c r="D50" s="379">
        <f ca="1">Num039_</f>
        <v>1</v>
      </c>
      <c r="E50" s="378" t="s">
        <v>3499</v>
      </c>
      <c r="F50" s="377">
        <v>1</v>
      </c>
      <c r="G50" s="376"/>
      <c r="H50" s="375">
        <f t="shared" ca="1" si="5"/>
        <v>1</v>
      </c>
      <c r="I50" s="374" t="s">
        <v>3479</v>
      </c>
      <c r="J50" s="988" t="s">
        <v>3498</v>
      </c>
      <c r="K50" s="989"/>
      <c r="L50" s="373" t="s">
        <v>3497</v>
      </c>
    </row>
    <row r="51" spans="1:20">
      <c r="B51" s="984"/>
      <c r="C51" s="380"/>
      <c r="D51" s="379"/>
      <c r="E51" s="378"/>
      <c r="F51" s="377"/>
      <c r="G51" s="376"/>
      <c r="H51" s="375">
        <f t="shared" si="5"/>
        <v>0</v>
      </c>
      <c r="I51" s="374" t="s">
        <v>3479</v>
      </c>
      <c r="J51" s="990"/>
      <c r="K51" s="991"/>
      <c r="L51" s="373"/>
    </row>
    <row r="52" spans="1:20">
      <c r="B52" s="984"/>
      <c r="C52" s="380" t="s">
        <v>3496</v>
      </c>
      <c r="D52" s="379">
        <f ca="1">Num040_</f>
        <v>0</v>
      </c>
      <c r="E52" s="378" t="s">
        <v>3492</v>
      </c>
      <c r="F52" s="377">
        <v>1</v>
      </c>
      <c r="G52" s="376"/>
      <c r="H52" s="375">
        <f t="shared" ca="1" si="5"/>
        <v>0</v>
      </c>
      <c r="I52" s="374" t="s">
        <v>3479</v>
      </c>
      <c r="J52" s="988" t="s">
        <v>3495</v>
      </c>
      <c r="K52" s="989"/>
      <c r="L52" s="373" t="s">
        <v>3494</v>
      </c>
    </row>
    <row r="53" spans="1:20">
      <c r="B53" s="984"/>
      <c r="C53" s="380" t="s">
        <v>3493</v>
      </c>
      <c r="D53" s="379">
        <f ca="1">Num041_</f>
        <v>0</v>
      </c>
      <c r="E53" s="378" t="s">
        <v>3492</v>
      </c>
      <c r="F53" s="377">
        <v>2</v>
      </c>
      <c r="G53" s="376"/>
      <c r="H53" s="375">
        <f t="shared" ca="1" si="5"/>
        <v>0</v>
      </c>
      <c r="I53" s="374" t="s">
        <v>3479</v>
      </c>
      <c r="J53" s="988" t="s">
        <v>3491</v>
      </c>
      <c r="K53" s="989"/>
      <c r="L53" s="373" t="s">
        <v>3490</v>
      </c>
    </row>
    <row r="54" spans="1:20">
      <c r="B54" s="984"/>
      <c r="C54" s="380" t="s">
        <v>3489</v>
      </c>
      <c r="D54" s="379">
        <f ca="1">Num042_</f>
        <v>3</v>
      </c>
      <c r="E54" s="378" t="s">
        <v>3488</v>
      </c>
      <c r="F54" s="377">
        <v>0.7</v>
      </c>
      <c r="G54" s="376"/>
      <c r="H54" s="375">
        <f t="shared" ca="1" si="5"/>
        <v>2.0999999999999996</v>
      </c>
      <c r="I54" s="374" t="s">
        <v>3479</v>
      </c>
      <c r="J54" s="988" t="s">
        <v>3487</v>
      </c>
      <c r="K54" s="989"/>
      <c r="L54" s="373" t="s">
        <v>3486</v>
      </c>
    </row>
    <row r="55" spans="1:20">
      <c r="B55" s="985"/>
      <c r="C55" s="372" t="s">
        <v>3485</v>
      </c>
      <c r="D55" s="371">
        <f ca="1">Num043_</f>
        <v>0</v>
      </c>
      <c r="E55" s="370" t="s">
        <v>3484</v>
      </c>
      <c r="F55" s="369">
        <v>2</v>
      </c>
      <c r="G55" s="368"/>
      <c r="H55" s="367">
        <f t="shared" ca="1" si="5"/>
        <v>0</v>
      </c>
      <c r="I55" s="366" t="s">
        <v>3479</v>
      </c>
      <c r="J55" s="992" t="s">
        <v>3483</v>
      </c>
      <c r="K55" s="993"/>
      <c r="L55" s="365" t="s">
        <v>3482</v>
      </c>
    </row>
    <row r="56" spans="1:20" s="358" customFormat="1" ht="20.25" thickBot="1">
      <c r="A56" s="357"/>
      <c r="B56" s="979" t="s">
        <v>3481</v>
      </c>
      <c r="C56" s="980"/>
      <c r="D56" s="980"/>
      <c r="E56" s="980"/>
      <c r="F56" s="980"/>
      <c r="G56" s="364" t="s">
        <v>3480</v>
      </c>
      <c r="H56" s="363">
        <f ca="1">SUM(H38:H55)</f>
        <v>5.8999999999999995</v>
      </c>
      <c r="I56" s="362" t="s">
        <v>3479</v>
      </c>
      <c r="J56" s="981"/>
      <c r="K56" s="982"/>
      <c r="L56" s="361"/>
      <c r="M56" s="355"/>
      <c r="N56" s="350"/>
      <c r="P56" s="359"/>
      <c r="Q56" s="359"/>
      <c r="R56" s="360"/>
      <c r="S56" s="359"/>
      <c r="T56" s="359"/>
    </row>
    <row r="57" spans="1:20" s="358" customFormat="1" ht="8.25">
      <c r="F57" s="359"/>
      <c r="H57" s="359"/>
      <c r="M57" s="359"/>
      <c r="P57" s="359"/>
      <c r="Q57" s="359"/>
      <c r="R57" s="360"/>
      <c r="S57" s="359"/>
      <c r="T57" s="359"/>
    </row>
    <row r="58" spans="1:20" ht="14.25">
      <c r="A58" s="358"/>
      <c r="B58" s="358"/>
      <c r="C58" s="358"/>
      <c r="D58" s="358"/>
      <c r="E58" s="358"/>
      <c r="F58" s="359"/>
      <c r="G58" s="358"/>
      <c r="H58" s="359"/>
      <c r="I58" s="358"/>
      <c r="J58" s="358"/>
      <c r="K58" s="358"/>
      <c r="L58" s="358"/>
      <c r="M58" s="359"/>
      <c r="N58" s="358"/>
    </row>
    <row r="59" spans="1:20">
      <c r="L59" s="354" t="s">
        <v>3478</v>
      </c>
    </row>
    <row r="60" spans="1:20">
      <c r="L60" s="354" t="s">
        <v>3477</v>
      </c>
    </row>
    <row r="61" spans="1:20">
      <c r="L61" s="354" t="s">
        <v>3476</v>
      </c>
    </row>
    <row r="68" spans="24:26">
      <c r="X68"/>
      <c r="Y68"/>
      <c r="Z68" s="547"/>
    </row>
    <row r="69" spans="24:26">
      <c r="X69"/>
      <c r="Y69"/>
      <c r="Z69" s="547"/>
    </row>
    <row r="71" spans="24:26">
      <c r="X71" t="s">
        <v>3677</v>
      </c>
      <c r="Y71" t="s">
        <v>7</v>
      </c>
      <c r="Z71" s="547" cm="1">
        <f t="array" aca="1" ref="Z71" ca="1">INDIRECT("'K'!R2C"&amp;MATCH(Y71,K!$1:$1,0),FALSE)</f>
        <v>1.2</v>
      </c>
    </row>
    <row r="72" spans="24:26">
      <c r="X72" t="s">
        <v>3202</v>
      </c>
      <c r="Y72" t="s">
        <v>19</v>
      </c>
      <c r="Z72" s="547" cm="1">
        <f t="array" aca="1" ref="Z72" ca="1">INDIRECT("'K'!R2C"&amp;MATCH(Y72,K!$1:$1,0),FALSE)</f>
        <v>1</v>
      </c>
    </row>
    <row r="73" spans="24:26">
      <c r="X73" t="s">
        <v>3203</v>
      </c>
      <c r="Y73" t="s">
        <v>20</v>
      </c>
      <c r="Z73" s="547" cm="1">
        <f t="array" aca="1" ref="Z73" ca="1">INDIRECT("'K'!R2C"&amp;MATCH(Y73,K!$1:$1,0),FALSE)</f>
        <v>0</v>
      </c>
    </row>
    <row r="74" spans="24:26">
      <c r="X74" t="s">
        <v>3589</v>
      </c>
      <c r="Y74" t="s">
        <v>21</v>
      </c>
      <c r="Z74" s="547" cm="1">
        <f t="array" aca="1" ref="Z74" ca="1">INDIRECT("'K'!R2C"&amp;MATCH(Y74,K!$1:$1,0),FALSE)</f>
        <v>0</v>
      </c>
    </row>
    <row r="75" spans="24:26">
      <c r="X75" t="s">
        <v>3678</v>
      </c>
      <c r="Y75" t="s">
        <v>22</v>
      </c>
      <c r="Z75" s="547" cm="1">
        <f t="array" aca="1" ref="Z75" ca="1">INDIRECT("'K'!R2C"&amp;MATCH(Y75,K!$1:$1,0),FALSE)</f>
        <v>0</v>
      </c>
    </row>
    <row r="76" spans="24:26">
      <c r="X76" t="s">
        <v>3679</v>
      </c>
      <c r="Y76" t="s">
        <v>23</v>
      </c>
      <c r="Z76" s="547" cm="1">
        <f t="array" aca="1" ref="Z76" ca="1">INDIRECT("'K'!R2C"&amp;MATCH(Y76,K!$1:$1,0),FALSE)</f>
        <v>0</v>
      </c>
    </row>
    <row r="77" spans="24:26">
      <c r="X77" t="s">
        <v>3680</v>
      </c>
      <c r="Y77" t="s">
        <v>24</v>
      </c>
      <c r="Z77" s="547" cm="1">
        <f t="array" aca="1" ref="Z77" ca="1">INDIRECT("'K'!R2C"&amp;MATCH(Y77,K!$1:$1,0),FALSE)</f>
        <v>0</v>
      </c>
    </row>
    <row r="78" spans="24:26">
      <c r="X78" t="s">
        <v>3676</v>
      </c>
      <c r="Y78" t="s">
        <v>25</v>
      </c>
      <c r="Z78" s="547" cm="1">
        <f t="array" aca="1" ref="Z78" ca="1">INDIRECT("'K'!R2C"&amp;MATCH(Y78,K!$1:$1,0),FALSE)</f>
        <v>0</v>
      </c>
    </row>
    <row r="79" spans="24:26">
      <c r="X79" t="s">
        <v>3681</v>
      </c>
      <c r="Y79" t="s">
        <v>26</v>
      </c>
      <c r="Z79" s="547" cm="1">
        <f t="array" aca="1" ref="Z79" ca="1">INDIRECT("'K'!R2C"&amp;MATCH(Y79,K!$1:$1,0),FALSE)</f>
        <v>1</v>
      </c>
    </row>
    <row r="80" spans="24:26">
      <c r="X80" t="s">
        <v>3557</v>
      </c>
      <c r="Y80" t="s">
        <v>27</v>
      </c>
      <c r="Z80" s="547" cm="1">
        <f t="array" aca="1" ref="Z80" ca="1">INDIRECT("'K'!R2C"&amp;MATCH(Y80,K!$1:$1,0),FALSE)</f>
        <v>0</v>
      </c>
    </row>
    <row r="81" spans="24:26">
      <c r="X81"/>
      <c r="Y81"/>
      <c r="Z81" s="547"/>
    </row>
    <row r="82" spans="24:26">
      <c r="X82"/>
      <c r="Y82"/>
      <c r="Z82" s="547"/>
    </row>
    <row r="83" spans="24:26">
      <c r="X83" t="s">
        <v>3682</v>
      </c>
      <c r="Y83" t="s">
        <v>319</v>
      </c>
      <c r="Z83" s="548" cm="1">
        <f t="array" aca="1" ref="Z83" ca="1">INDIRECT("'K'!R2C"&amp;MATCH(Y83,K!$1:$1,0),FALSE)</f>
        <v>45896</v>
      </c>
    </row>
    <row r="84" spans="24:26">
      <c r="X84" t="s">
        <v>3683</v>
      </c>
      <c r="Y84" t="s">
        <v>326</v>
      </c>
      <c r="Z84" s="548" cm="1">
        <f t="array" aca="1" ref="Z84" ca="1">INDIRECT("'K'!R2C"&amp;MATCH(Y84,K!$1:$1,0),FALSE)</f>
        <v>45936</v>
      </c>
    </row>
    <row r="85" spans="24:26">
      <c r="X85" t="s">
        <v>3684</v>
      </c>
      <c r="Y85" t="s">
        <v>332</v>
      </c>
      <c r="Z85" s="548" cm="1">
        <f t="array" aca="1" ref="Z85" ca="1">INDIRECT("'K'!R2C"&amp;MATCH(Y85,K!$1:$1,0),FALSE)</f>
        <v>46040</v>
      </c>
    </row>
    <row r="86" spans="24:26">
      <c r="X86"/>
      <c r="Y86"/>
      <c r="Z86" s="547"/>
    </row>
    <row r="87" spans="24:26">
      <c r="X87" t="s">
        <v>3685</v>
      </c>
      <c r="Y87" t="s">
        <v>318</v>
      </c>
      <c r="Z87" s="556" cm="1">
        <f t="array" aca="1" ref="Z87" ca="1">INDIRECT("'K'!R2C"&amp;MATCH(Y87,K!$1:$1,0),FALSE)</f>
        <v>30</v>
      </c>
    </row>
    <row r="88" spans="24:26">
      <c r="X88" t="s">
        <v>3686</v>
      </c>
      <c r="Y88" t="s">
        <v>325</v>
      </c>
      <c r="Z88" s="556" cm="1">
        <f t="array" aca="1" ref="Z88" ca="1">INDIRECT("'K'!R2C"&amp;MATCH(Y88,K!$1:$1,0),FALSE)</f>
        <v>90</v>
      </c>
    </row>
    <row r="89" spans="24:26">
      <c r="X89" t="s">
        <v>3687</v>
      </c>
      <c r="Y89" t="s">
        <v>331</v>
      </c>
      <c r="Z89" s="556" cm="1">
        <f t="array" aca="1" ref="Z89" ca="1">INDIRECT("'K'!R2C"&amp;MATCH(Y89,K!$1:$1,0),FALSE)</f>
        <v>42</v>
      </c>
    </row>
    <row r="90" spans="24:26">
      <c r="X90" t="s">
        <v>3688</v>
      </c>
      <c r="Y90" t="s">
        <v>336</v>
      </c>
      <c r="Z90" s="556" cm="1">
        <f t="array" aca="1" ref="Z90" ca="1">INDIRECT("'K'!R2C"&amp;MATCH(Y90,K!$1:$1,0),FALSE)</f>
        <v>104.4</v>
      </c>
    </row>
    <row r="91" spans="24:26">
      <c r="X91" t="s">
        <v>3689</v>
      </c>
      <c r="Y91" t="s">
        <v>342</v>
      </c>
      <c r="Z91" s="556" cm="1">
        <f t="array" aca="1" ref="Z91" ca="1">INDIRECT("'K'!R2C"&amp;MATCH(Y91,K!$1:$1,0),FALSE)</f>
        <v>9</v>
      </c>
    </row>
    <row r="92" spans="24:26">
      <c r="X92" t="s">
        <v>3690</v>
      </c>
      <c r="Y92" t="s">
        <v>347</v>
      </c>
      <c r="Z92" s="556" cm="1">
        <f t="array" aca="1" ref="Z92" ca="1">INDIRECT("'K'!R2C"&amp;MATCH(Y92,K!$1:$1,0),FALSE)</f>
        <v>5.9</v>
      </c>
    </row>
    <row r="93" spans="24:26">
      <c r="X93" t="s">
        <v>3691</v>
      </c>
      <c r="Y93" t="s">
        <v>352</v>
      </c>
      <c r="Z93" s="556" cm="1">
        <f t="array" aca="1" ref="Z93" ca="1">INDIRECT("'K'!R2C"&amp;MATCH(Y93,K!$1:$1,0),FALSE)</f>
        <v>134</v>
      </c>
    </row>
    <row r="94" spans="24:26">
      <c r="X94" t="s">
        <v>3692</v>
      </c>
      <c r="Y94" t="s">
        <v>357</v>
      </c>
      <c r="Z94" s="556" cm="1">
        <f t="array" aca="1" ref="Z94" ca="1">INDIRECT("'K'!R2C"&amp;MATCH(Y94,K!$1:$1,0),FALSE)</f>
        <v>10</v>
      </c>
    </row>
    <row r="95" spans="24:26">
      <c r="X95" t="s">
        <v>3693</v>
      </c>
      <c r="Y95" t="s">
        <v>361</v>
      </c>
      <c r="Z95" s="556" cm="1">
        <f t="array" aca="1" ref="Z95" ca="1">INDIRECT("'K'!R2C"&amp;MATCH(Y95,K!$1:$1,0),FALSE)</f>
        <v>0</v>
      </c>
    </row>
    <row r="96" spans="24:26">
      <c r="X96" t="s">
        <v>3694</v>
      </c>
      <c r="Y96" t="s">
        <v>472</v>
      </c>
      <c r="Z96" s="556" cm="1">
        <f t="array" aca="1" ref="Z96" ca="1">INDIRECT("'K'!R2C"&amp;MATCH(Y96,K!$1:$1,0),FALSE)</f>
        <v>0</v>
      </c>
    </row>
    <row r="97" spans="24:26">
      <c r="X97" t="s">
        <v>3695</v>
      </c>
      <c r="Y97" t="s">
        <v>477</v>
      </c>
      <c r="Z97" s="556" cm="1">
        <f t="array" aca="1" ref="Z97" ca="1">INDIRECT("'K'!R2C"&amp;MATCH(Y97,K!$1:$1,0),FALSE)</f>
        <v>0</v>
      </c>
    </row>
    <row r="98" spans="24:26">
      <c r="X98" t="s">
        <v>2639</v>
      </c>
      <c r="Y98" t="s">
        <v>482</v>
      </c>
      <c r="Z98" s="556" cm="1">
        <f t="array" aca="1" ref="Z98" ca="1">INDIRECT("'K'!R2C"&amp;MATCH(Y98,K!$1:$1,0),FALSE)</f>
        <v>0</v>
      </c>
    </row>
    <row r="99" spans="24:26">
      <c r="X99" t="s">
        <v>3543</v>
      </c>
      <c r="Y99" t="s">
        <v>552</v>
      </c>
      <c r="Z99" s="556" cm="1">
        <f t="array" aca="1" ref="Z99" ca="1">INDIRECT("'K'!R2C"&amp;MATCH(Y99,K!$1:$1,0),FALSE)</f>
        <v>1</v>
      </c>
    </row>
    <row r="100" spans="24:26">
      <c r="X100" t="s">
        <v>3539</v>
      </c>
      <c r="Y100" t="s">
        <v>557</v>
      </c>
      <c r="Z100" s="556" cm="1">
        <f t="array" aca="1" ref="Z100" ca="1">INDIRECT("'K'!R2C"&amp;MATCH(Y100,K!$1:$1,0),FALSE)</f>
        <v>0</v>
      </c>
    </row>
    <row r="101" spans="24:26">
      <c r="X101" t="s">
        <v>3535</v>
      </c>
      <c r="Y101" t="s">
        <v>562</v>
      </c>
      <c r="Z101" s="556" cm="1">
        <f t="array" aca="1" ref="Z101" ca="1">INDIRECT("'K'!R2C"&amp;MATCH(Y101,K!$1:$1,0),FALSE)</f>
        <v>0</v>
      </c>
    </row>
    <row r="102" spans="24:26">
      <c r="X102" t="s">
        <v>3696</v>
      </c>
      <c r="Y102" t="s">
        <v>567</v>
      </c>
      <c r="Z102" s="556" cm="1">
        <f t="array" aca="1" ref="Z102" ca="1">INDIRECT("'K'!R2C"&amp;MATCH(Y102,K!$1:$1,0),FALSE)</f>
        <v>0</v>
      </c>
    </row>
    <row r="103" spans="24:26">
      <c r="X103" t="s">
        <v>3527</v>
      </c>
      <c r="Y103" t="s">
        <v>601</v>
      </c>
      <c r="Z103" s="556" cm="1">
        <f t="array" aca="1" ref="Z103" ca="1">INDIRECT("'K'!R2C"&amp;MATCH(Y103,K!$1:$1,0),FALSE)</f>
        <v>0</v>
      </c>
    </row>
    <row r="104" spans="24:26">
      <c r="X104" t="s">
        <v>3697</v>
      </c>
      <c r="Y104" t="s">
        <v>606</v>
      </c>
      <c r="Z104" s="556" cm="1">
        <f t="array" aca="1" ref="Z104" ca="1">INDIRECT("'K'!R2C"&amp;MATCH(Y104,K!$1:$1,0),FALSE)</f>
        <v>0</v>
      </c>
    </row>
    <row r="105" spans="24:26">
      <c r="X105" t="s">
        <v>3520</v>
      </c>
      <c r="Y105" t="s">
        <v>612</v>
      </c>
      <c r="Z105" s="556" cm="1">
        <f t="array" aca="1" ref="Z105" ca="1">INDIRECT("'K'!R2C"&amp;MATCH(Y105,K!$1:$1,0),FALSE)</f>
        <v>9</v>
      </c>
    </row>
    <row r="106" spans="24:26">
      <c r="X106" t="s">
        <v>3517</v>
      </c>
      <c r="Y106" t="s">
        <v>618</v>
      </c>
      <c r="Z106" s="556" cm="1">
        <f t="array" aca="1" ref="Z106" ca="1">INDIRECT("'K'!R2C"&amp;MATCH(Y106,K!$1:$1,0),FALSE)</f>
        <v>0</v>
      </c>
    </row>
    <row r="107" spans="24:26">
      <c r="X107" t="s">
        <v>3698</v>
      </c>
      <c r="Y107" t="s">
        <v>623</v>
      </c>
      <c r="Z107" s="556" cm="1">
        <f t="array" aca="1" ref="Z107" ca="1">INDIRECT("'K'!R2C"&amp;MATCH(Y107,K!$1:$1,0),FALSE)</f>
        <v>0</v>
      </c>
    </row>
    <row r="108" spans="24:26">
      <c r="X108" t="s">
        <v>3699</v>
      </c>
      <c r="Y108" t="s">
        <v>628</v>
      </c>
      <c r="Z108" s="556" cm="1">
        <f t="array" aca="1" ref="Z108" ca="1">INDIRECT("'K'!R2C"&amp;MATCH(Y108,K!$1:$1,0),FALSE)</f>
        <v>0</v>
      </c>
    </row>
    <row r="109" spans="24:26">
      <c r="X109" t="s">
        <v>3507</v>
      </c>
      <c r="Y109" t="s">
        <v>634</v>
      </c>
      <c r="Z109" s="556" cm="1">
        <f t="array" aca="1" ref="Z109" ca="1">INDIRECT("'K'!R2C"&amp;MATCH(Y109,K!$1:$1,0),FALSE)</f>
        <v>0</v>
      </c>
    </row>
    <row r="110" spans="24:26">
      <c r="X110" t="s">
        <v>3503</v>
      </c>
      <c r="Y110" t="s">
        <v>640</v>
      </c>
      <c r="Z110" s="556" cm="1">
        <f t="array" aca="1" ref="Z110" ca="1">INDIRECT("'K'!R2C"&amp;MATCH(Y110,K!$1:$1,0),FALSE)</f>
        <v>0</v>
      </c>
    </row>
    <row r="111" spans="24:26">
      <c r="X111" t="s">
        <v>3500</v>
      </c>
      <c r="Y111" t="s">
        <v>646</v>
      </c>
      <c r="Z111" s="556" cm="1">
        <f t="array" aca="1" ref="Z111" ca="1">INDIRECT("'K'!R2C"&amp;MATCH(Y111,K!$1:$1,0),FALSE)</f>
        <v>1</v>
      </c>
    </row>
    <row r="112" spans="24:26">
      <c r="X112" t="s">
        <v>3700</v>
      </c>
      <c r="Y112" t="s">
        <v>652</v>
      </c>
      <c r="Z112" s="556" cm="1">
        <f t="array" aca="1" ref="Z112" ca="1">INDIRECT("'K'!R2C"&amp;MATCH(Y112,K!$1:$1,0),FALSE)</f>
        <v>0</v>
      </c>
    </row>
    <row r="113" spans="24:26">
      <c r="X113" t="s">
        <v>3701</v>
      </c>
      <c r="Y113" t="s">
        <v>658</v>
      </c>
      <c r="Z113" s="556" cm="1">
        <f t="array" aca="1" ref="Z113" ca="1">INDIRECT("'K'!R2C"&amp;MATCH(Y113,K!$1:$1,0),FALSE)</f>
        <v>0</v>
      </c>
    </row>
    <row r="114" spans="24:26">
      <c r="X114" t="s">
        <v>3702</v>
      </c>
      <c r="Y114" t="s">
        <v>664</v>
      </c>
      <c r="Z114" s="556" cm="1">
        <f t="array" aca="1" ref="Z114" ca="1">INDIRECT("'K'!R2C"&amp;MATCH(Y114,K!$1:$1,0),FALSE)</f>
        <v>3</v>
      </c>
    </row>
    <row r="115" spans="24:26">
      <c r="X115" t="s">
        <v>3485</v>
      </c>
      <c r="Y115" t="s">
        <v>670</v>
      </c>
      <c r="Z115" s="556" cm="1">
        <f t="array" aca="1" ref="Z115" ca="1">INDIRECT("'K'!R2C"&amp;MATCH(Y115,K!$1:$1,0),FALSE)</f>
        <v>0</v>
      </c>
    </row>
  </sheetData>
  <mergeCells count="45">
    <mergeCell ref="J55:K55"/>
    <mergeCell ref="L32:L33"/>
    <mergeCell ref="B35:F35"/>
    <mergeCell ref="B37:C37"/>
    <mergeCell ref="J37:L37"/>
    <mergeCell ref="B38:B41"/>
    <mergeCell ref="J38:K38"/>
    <mergeCell ref="J39:K39"/>
    <mergeCell ref="J40:K40"/>
    <mergeCell ref="J41:K41"/>
    <mergeCell ref="K32:K33"/>
    <mergeCell ref="B56:F56"/>
    <mergeCell ref="J56:K56"/>
    <mergeCell ref="B42:B55"/>
    <mergeCell ref="J42:K42"/>
    <mergeCell ref="J43:K43"/>
    <mergeCell ref="J44:K44"/>
    <mergeCell ref="J50:K50"/>
    <mergeCell ref="J45:K45"/>
    <mergeCell ref="J46:K46"/>
    <mergeCell ref="J47:K47"/>
    <mergeCell ref="J48:K48"/>
    <mergeCell ref="J49:K49"/>
    <mergeCell ref="J51:K51"/>
    <mergeCell ref="J52:K52"/>
    <mergeCell ref="J53:K53"/>
    <mergeCell ref="J54:K54"/>
    <mergeCell ref="K24:K25"/>
    <mergeCell ref="L24:L25"/>
    <mergeCell ref="O24:Q24"/>
    <mergeCell ref="R24:T24"/>
    <mergeCell ref="K28:K29"/>
    <mergeCell ref="L28:L29"/>
    <mergeCell ref="B2:F4"/>
    <mergeCell ref="B5:E6"/>
    <mergeCell ref="F9:G9"/>
    <mergeCell ref="K9:L9"/>
    <mergeCell ref="O9:V22"/>
    <mergeCell ref="H10:H12"/>
    <mergeCell ref="I10:I12"/>
    <mergeCell ref="B21:C21"/>
    <mergeCell ref="K21:K22"/>
    <mergeCell ref="L21:L22"/>
    <mergeCell ref="K2:M4"/>
    <mergeCell ref="D16:G16"/>
  </mergeCells>
  <phoneticPr fontId="1"/>
  <conditionalFormatting sqref="B27:C27">
    <cfRule type="expression" dxfId="99" priority="1">
      <formula>($H$10&lt;=50)</formula>
    </cfRule>
  </conditionalFormatting>
  <dataValidations disablePrompts="1" count="5">
    <dataValidation type="whole" allowBlank="1" showInputMessage="1" showErrorMessage="1" error="0 or 1 を入力" prompt="0 or 1 を入力" sqref="D22:D34" xr:uid="{532E7BBC-EE91-4CBD-9F03-1534AFC262EE}">
      <formula1>0</formula1>
      <formula2>1</formula2>
    </dataValidation>
    <dataValidation allowBlank="1" showErrorMessage="1" error="整数のみ入力可" prompt="整数のみ入力可" sqref="G37:G55" xr:uid="{27032D24-73DF-41FC-B361-56A6E8F16672}"/>
    <dataValidation type="whole" allowBlank="1" showInputMessage="1" showErrorMessage="1" error="整数のみ入力可" prompt="整数のみ入力可" sqref="F30:F32" xr:uid="{CF73AA42-746D-458E-87AC-F87C209B1BE5}">
      <formula1>0</formula1>
      <formula2>999</formula2>
    </dataValidation>
    <dataValidation type="list" allowBlank="1" showInputMessage="1" sqref="G13" xr:uid="{A3AB930C-ADD3-4F7C-9109-1E3F3E3AD91D}">
      <formula1>"1.2,1.5"</formula1>
    </dataValidation>
    <dataValidation type="whole" imeMode="halfAlpha" allowBlank="1" showInputMessage="1" showErrorMessage="1" error="+日数のみ可" prompt="+日数のみ可" sqref="L27 L31" xr:uid="{4D30294E-0234-4074-8D93-2CAFF63E2342}">
      <formula1>0</formula1>
      <formula2>100</formula2>
    </dataValidation>
  </dataValidations>
  <printOptions horizontalCentered="1" verticalCentered="1"/>
  <pageMargins left="0.39370078740157483" right="0.39370078740157483" top="0.39370078740157483" bottom="0.39370078740157483" header="0" footer="0"/>
  <pageSetup paperSize="9" scale="63"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76BA8DD-E8AB-4E46-A938-8DCB7C1203E2}">
  <sheetPr codeName="Sheet14">
    <tabColor theme="1"/>
  </sheetPr>
  <dimension ref="A1:CC2"/>
  <sheetViews>
    <sheetView workbookViewId="0">
      <selection activeCell="E14" sqref="E14"/>
    </sheetView>
  </sheetViews>
  <sheetFormatPr defaultRowHeight="14.25"/>
  <cols>
    <col min="5" max="5" width="17.25" customWidth="1"/>
    <col min="35" max="35" width="13.5" customWidth="1"/>
    <col min="36" max="36" width="17.625" customWidth="1"/>
    <col min="58" max="58" width="13" customWidth="1"/>
    <col min="59" max="59" width="12.125" customWidth="1"/>
  </cols>
  <sheetData>
    <row r="1" spans="1:81">
      <c r="A1" t="s">
        <v>3767</v>
      </c>
      <c r="B1" t="s">
        <v>3769</v>
      </c>
      <c r="C1" t="s">
        <v>3772</v>
      </c>
      <c r="D1" t="s">
        <v>3771</v>
      </c>
      <c r="E1" t="s">
        <v>3766</v>
      </c>
      <c r="F1" t="s">
        <v>3768</v>
      </c>
      <c r="G1" t="s">
        <v>28</v>
      </c>
      <c r="H1" t="s">
        <v>29</v>
      </c>
      <c r="I1" t="s">
        <v>30</v>
      </c>
      <c r="J1" t="s">
        <v>31</v>
      </c>
      <c r="K1" t="s">
        <v>32</v>
      </c>
      <c r="L1" t="s">
        <v>33</v>
      </c>
      <c r="M1" t="s">
        <v>34</v>
      </c>
      <c r="N1" t="s">
        <v>35</v>
      </c>
      <c r="O1" t="s">
        <v>36</v>
      </c>
      <c r="P1" t="s">
        <v>37</v>
      </c>
      <c r="Q1" t="s">
        <v>49</v>
      </c>
      <c r="R1" t="s">
        <v>50</v>
      </c>
      <c r="S1" t="s">
        <v>3641</v>
      </c>
      <c r="T1" t="s">
        <v>51</v>
      </c>
      <c r="U1" t="s">
        <v>52</v>
      </c>
      <c r="V1" t="s">
        <v>53</v>
      </c>
      <c r="W1" t="s">
        <v>54</v>
      </c>
      <c r="X1" t="s">
        <v>55</v>
      </c>
      <c r="Y1" t="s">
        <v>56</v>
      </c>
      <c r="Z1" t="s">
        <v>57</v>
      </c>
      <c r="AA1" t="s">
        <v>58</v>
      </c>
      <c r="AB1" t="s">
        <v>59</v>
      </c>
      <c r="AC1" t="s">
        <v>60</v>
      </c>
      <c r="AD1" t="s">
        <v>61</v>
      </c>
      <c r="AE1" t="s">
        <v>62</v>
      </c>
      <c r="AF1" t="s">
        <v>63</v>
      </c>
      <c r="AG1" t="s">
        <v>64</v>
      </c>
      <c r="AH1" t="s">
        <v>3774</v>
      </c>
      <c r="AI1" t="s">
        <v>2</v>
      </c>
      <c r="AJ1" t="s">
        <v>128</v>
      </c>
      <c r="AK1" t="s">
        <v>543</v>
      </c>
      <c r="AL1" t="s">
        <v>548</v>
      </c>
      <c r="AM1" t="s">
        <v>552</v>
      </c>
      <c r="AN1" t="s">
        <v>601</v>
      </c>
      <c r="AO1" t="s">
        <v>606</v>
      </c>
      <c r="AP1" t="s">
        <v>612</v>
      </c>
      <c r="AQ1" t="s">
        <v>618</v>
      </c>
      <c r="AR1" t="s">
        <v>623</v>
      </c>
      <c r="AS1" t="s">
        <v>628</v>
      </c>
      <c r="AT1" t="s">
        <v>634</v>
      </c>
      <c r="AU1" t="s">
        <v>640</v>
      </c>
      <c r="AV1" t="s">
        <v>646</v>
      </c>
      <c r="AW1" t="s">
        <v>652</v>
      </c>
      <c r="AX1" t="s">
        <v>658</v>
      </c>
      <c r="AY1" t="s">
        <v>664</v>
      </c>
      <c r="AZ1" t="s">
        <v>670</v>
      </c>
      <c r="BA1" t="s">
        <v>674</v>
      </c>
      <c r="BB1" t="s">
        <v>679</v>
      </c>
      <c r="BC1" t="s">
        <v>685</v>
      </c>
      <c r="BD1" t="s">
        <v>690</v>
      </c>
      <c r="BE1" t="s">
        <v>439</v>
      </c>
      <c r="BF1" t="s">
        <v>445</v>
      </c>
      <c r="BG1" t="s">
        <v>451</v>
      </c>
      <c r="BH1" t="s">
        <v>457</v>
      </c>
      <c r="BI1" t="s">
        <v>463</v>
      </c>
      <c r="BJ1" t="s">
        <v>468</v>
      </c>
      <c r="BK1" t="s">
        <v>473</v>
      </c>
      <c r="BL1" t="s">
        <v>478</v>
      </c>
      <c r="BM1" t="s">
        <v>483</v>
      </c>
      <c r="BN1" t="s">
        <v>487</v>
      </c>
      <c r="BO1" t="s">
        <v>493</v>
      </c>
      <c r="BP1" t="s">
        <v>500</v>
      </c>
      <c r="BQ1" t="s">
        <v>507</v>
      </c>
      <c r="BR1" t="s">
        <v>514</v>
      </c>
      <c r="BS1" t="s">
        <v>521</v>
      </c>
      <c r="BT1" t="s">
        <v>528</v>
      </c>
      <c r="BU1" t="s">
        <v>534</v>
      </c>
      <c r="BV1" t="s">
        <v>540</v>
      </c>
      <c r="BW1" t="s">
        <v>549</v>
      </c>
      <c r="BX1" t="s">
        <v>553</v>
      </c>
      <c r="BY1" t="s">
        <v>545</v>
      </c>
      <c r="BZ1" t="s">
        <v>558</v>
      </c>
      <c r="CA1" t="s">
        <v>563</v>
      </c>
      <c r="CB1" t="s">
        <v>568</v>
      </c>
      <c r="CC1" t="s">
        <v>3770</v>
      </c>
    </row>
    <row r="2" spans="1:81">
      <c r="A2">
        <v>284957</v>
      </c>
      <c r="B2">
        <v>910</v>
      </c>
      <c r="C2" t="s">
        <v>5157</v>
      </c>
      <c r="D2">
        <v>995</v>
      </c>
      <c r="E2" s="21">
        <v>45873.748391203706</v>
      </c>
      <c r="G2">
        <v>1</v>
      </c>
      <c r="H2">
        <v>109103</v>
      </c>
      <c r="I2">
        <v>0</v>
      </c>
      <c r="J2">
        <v>0</v>
      </c>
      <c r="K2">
        <v>0</v>
      </c>
      <c r="L2">
        <v>0</v>
      </c>
      <c r="M2">
        <v>0</v>
      </c>
      <c r="N2">
        <v>1</v>
      </c>
      <c r="O2">
        <v>0</v>
      </c>
      <c r="P2">
        <v>0</v>
      </c>
      <c r="Q2">
        <v>0</v>
      </c>
      <c r="R2">
        <v>0</v>
      </c>
      <c r="S2">
        <v>0</v>
      </c>
      <c r="T2">
        <v>0</v>
      </c>
      <c r="U2">
        <v>0</v>
      </c>
      <c r="V2">
        <v>0</v>
      </c>
      <c r="W2">
        <v>0</v>
      </c>
      <c r="X2">
        <v>0</v>
      </c>
      <c r="Y2">
        <v>0</v>
      </c>
      <c r="Z2">
        <v>0</v>
      </c>
      <c r="AA2">
        <v>0</v>
      </c>
      <c r="AB2">
        <v>0</v>
      </c>
      <c r="AC2">
        <v>0</v>
      </c>
      <c r="AD2">
        <v>0</v>
      </c>
      <c r="AE2">
        <v>0</v>
      </c>
      <c r="AF2">
        <v>0</v>
      </c>
      <c r="AG2">
        <v>0</v>
      </c>
      <c r="AH2">
        <v>282082</v>
      </c>
      <c r="AI2" t="s">
        <v>3852</v>
      </c>
      <c r="AJ2" t="s">
        <v>5158</v>
      </c>
      <c r="AK2">
        <v>0</v>
      </c>
      <c r="AL2">
        <v>0</v>
      </c>
      <c r="AM2">
        <v>0</v>
      </c>
      <c r="AN2">
        <v>0</v>
      </c>
      <c r="AO2">
        <v>0</v>
      </c>
      <c r="AP2">
        <v>0</v>
      </c>
      <c r="AQ2">
        <v>0</v>
      </c>
      <c r="AR2">
        <v>0</v>
      </c>
      <c r="AS2">
        <v>0</v>
      </c>
      <c r="AT2">
        <v>0</v>
      </c>
      <c r="AU2">
        <v>0</v>
      </c>
      <c r="AV2">
        <v>0</v>
      </c>
      <c r="AW2">
        <v>0</v>
      </c>
      <c r="AX2">
        <v>0</v>
      </c>
      <c r="AY2">
        <v>0</v>
      </c>
      <c r="AZ2">
        <v>0</v>
      </c>
      <c r="BA2">
        <v>0</v>
      </c>
      <c r="BB2">
        <v>0</v>
      </c>
      <c r="BC2">
        <v>0</v>
      </c>
      <c r="BD2">
        <v>0</v>
      </c>
      <c r="BE2" s="20">
        <v>45560</v>
      </c>
      <c r="BF2" s="20">
        <v>45801</v>
      </c>
      <c r="BG2" s="20">
        <v>45801</v>
      </c>
      <c r="BH2" s="20">
        <v>45808</v>
      </c>
      <c r="BI2" s="20">
        <v>45815</v>
      </c>
      <c r="BL2" s="20">
        <v>45845</v>
      </c>
      <c r="BM2" s="20">
        <v>45876</v>
      </c>
      <c r="BN2" s="20">
        <v>45821</v>
      </c>
      <c r="BO2" s="20">
        <v>45857</v>
      </c>
      <c r="BP2" s="20">
        <v>45852</v>
      </c>
      <c r="BQ2" s="20">
        <v>45865</v>
      </c>
      <c r="BR2" s="20">
        <v>45845</v>
      </c>
      <c r="BS2" s="20">
        <v>45869</v>
      </c>
      <c r="BT2" s="20">
        <v>45870</v>
      </c>
      <c r="BU2" s="20">
        <v>45866</v>
      </c>
      <c r="BW2" s="20">
        <v>45896</v>
      </c>
      <c r="BX2" s="20">
        <v>45891</v>
      </c>
      <c r="BY2" s="20">
        <v>45889</v>
      </c>
      <c r="BZ2" s="20">
        <v>45896</v>
      </c>
      <c r="CC2">
        <v>732</v>
      </c>
    </row>
  </sheetData>
  <phoneticPr fontId="1"/>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E535F9B-E2DB-443F-8CD6-29673B1115A1}">
  <sheetPr codeName="Sheet17">
    <tabColor theme="1"/>
  </sheetPr>
  <dimension ref="A1:BB2"/>
  <sheetViews>
    <sheetView topLeftCell="AC1" workbookViewId="0">
      <selection activeCell="AW2" sqref="AW2"/>
    </sheetView>
  </sheetViews>
  <sheetFormatPr defaultRowHeight="14.25"/>
  <sheetData>
    <row r="1" spans="1:54">
      <c r="A1" t="s">
        <v>3767</v>
      </c>
      <c r="B1" t="s">
        <v>3769</v>
      </c>
      <c r="C1" t="s">
        <v>3772</v>
      </c>
      <c r="D1" t="s">
        <v>3771</v>
      </c>
      <c r="E1" t="s">
        <v>3766</v>
      </c>
      <c r="F1" t="s">
        <v>3768</v>
      </c>
      <c r="G1" t="s">
        <v>19</v>
      </c>
      <c r="H1" t="s">
        <v>20</v>
      </c>
      <c r="I1" t="s">
        <v>21</v>
      </c>
      <c r="J1" t="s">
        <v>22</v>
      </c>
      <c r="K1" t="s">
        <v>23</v>
      </c>
      <c r="L1" t="s">
        <v>24</v>
      </c>
      <c r="M1" t="s">
        <v>25</v>
      </c>
      <c r="N1" t="s">
        <v>26</v>
      </c>
      <c r="O1" t="s">
        <v>27</v>
      </c>
      <c r="P1" t="s">
        <v>3774</v>
      </c>
      <c r="Q1" t="s">
        <v>2</v>
      </c>
      <c r="R1" t="s">
        <v>7</v>
      </c>
      <c r="S1" t="s">
        <v>128</v>
      </c>
      <c r="T1" t="s">
        <v>18</v>
      </c>
      <c r="U1" t="s">
        <v>28</v>
      </c>
      <c r="V1" t="s">
        <v>472</v>
      </c>
      <c r="W1" t="s">
        <v>477</v>
      </c>
      <c r="X1" t="s">
        <v>482</v>
      </c>
      <c r="Y1" t="s">
        <v>552</v>
      </c>
      <c r="Z1" t="s">
        <v>557</v>
      </c>
      <c r="AA1" t="s">
        <v>562</v>
      </c>
      <c r="AB1" t="s">
        <v>567</v>
      </c>
      <c r="AC1" t="s">
        <v>601</v>
      </c>
      <c r="AD1" t="s">
        <v>606</v>
      </c>
      <c r="AE1" t="s">
        <v>612</v>
      </c>
      <c r="AF1" t="s">
        <v>618</v>
      </c>
      <c r="AG1" t="s">
        <v>623</v>
      </c>
      <c r="AH1" t="s">
        <v>628</v>
      </c>
      <c r="AI1" t="s">
        <v>634</v>
      </c>
      <c r="AJ1" t="s">
        <v>640</v>
      </c>
      <c r="AK1" t="s">
        <v>646</v>
      </c>
      <c r="AL1" t="s">
        <v>652</v>
      </c>
      <c r="AM1" t="s">
        <v>658</v>
      </c>
      <c r="AN1" t="s">
        <v>664</v>
      </c>
      <c r="AO1" t="s">
        <v>670</v>
      </c>
      <c r="AP1" t="s">
        <v>318</v>
      </c>
      <c r="AQ1" t="s">
        <v>325</v>
      </c>
      <c r="AR1" t="s">
        <v>331</v>
      </c>
      <c r="AS1" t="s">
        <v>336</v>
      </c>
      <c r="AT1" t="s">
        <v>342</v>
      </c>
      <c r="AU1" t="s">
        <v>347</v>
      </c>
      <c r="AV1" t="s">
        <v>357</v>
      </c>
      <c r="AW1" t="s">
        <v>361</v>
      </c>
      <c r="AX1" t="s">
        <v>352</v>
      </c>
      <c r="AY1" t="s">
        <v>319</v>
      </c>
      <c r="AZ1" t="s">
        <v>326</v>
      </c>
      <c r="BA1" t="s">
        <v>332</v>
      </c>
      <c r="BB1" t="s">
        <v>3770</v>
      </c>
    </row>
    <row r="2" spans="1:54">
      <c r="A2">
        <v>282083</v>
      </c>
      <c r="B2">
        <v>910</v>
      </c>
      <c r="C2" t="s">
        <v>5159</v>
      </c>
      <c r="D2">
        <v>995</v>
      </c>
      <c r="E2" s="21">
        <v>45873.748402777775</v>
      </c>
      <c r="G2">
        <v>1</v>
      </c>
      <c r="H2">
        <v>0</v>
      </c>
      <c r="I2">
        <v>0</v>
      </c>
      <c r="J2">
        <v>0</v>
      </c>
      <c r="K2">
        <v>0</v>
      </c>
      <c r="L2">
        <v>0</v>
      </c>
      <c r="M2">
        <v>0</v>
      </c>
      <c r="N2">
        <v>1</v>
      </c>
      <c r="O2">
        <v>0</v>
      </c>
      <c r="P2">
        <v>282082</v>
      </c>
      <c r="Q2" t="s">
        <v>3775</v>
      </c>
      <c r="R2">
        <v>1.2</v>
      </c>
      <c r="S2" t="s">
        <v>5160</v>
      </c>
      <c r="T2">
        <v>210700</v>
      </c>
      <c r="U2">
        <v>0</v>
      </c>
      <c r="V2">
        <v>0</v>
      </c>
      <c r="W2">
        <v>0</v>
      </c>
      <c r="X2">
        <v>0</v>
      </c>
      <c r="Y2">
        <v>1</v>
      </c>
      <c r="Z2">
        <v>0</v>
      </c>
      <c r="AA2">
        <v>0</v>
      </c>
      <c r="AB2">
        <v>0</v>
      </c>
      <c r="AC2">
        <v>0</v>
      </c>
      <c r="AD2">
        <v>0</v>
      </c>
      <c r="AE2">
        <v>9</v>
      </c>
      <c r="AF2">
        <v>0</v>
      </c>
      <c r="AG2">
        <v>0</v>
      </c>
      <c r="AH2">
        <v>0</v>
      </c>
      <c r="AI2">
        <v>0</v>
      </c>
      <c r="AJ2">
        <v>0</v>
      </c>
      <c r="AK2">
        <v>1</v>
      </c>
      <c r="AL2">
        <v>0</v>
      </c>
      <c r="AM2">
        <v>0</v>
      </c>
      <c r="AN2">
        <v>3</v>
      </c>
      <c r="AO2">
        <v>0</v>
      </c>
      <c r="AP2">
        <v>30</v>
      </c>
      <c r="AQ2">
        <v>90</v>
      </c>
      <c r="AR2">
        <v>42</v>
      </c>
      <c r="AS2">
        <v>104.4</v>
      </c>
      <c r="AT2">
        <v>9</v>
      </c>
      <c r="AU2">
        <v>5.9</v>
      </c>
      <c r="AV2">
        <v>10</v>
      </c>
      <c r="AW2">
        <v>0</v>
      </c>
      <c r="AX2">
        <v>134</v>
      </c>
      <c r="AY2" s="20">
        <v>45896</v>
      </c>
      <c r="AZ2" s="20">
        <v>45936</v>
      </c>
      <c r="BA2" s="20">
        <v>46040</v>
      </c>
      <c r="BB2">
        <v>732</v>
      </c>
    </row>
  </sheetData>
  <phoneticPr fontId="1"/>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AB63FE-6A4B-4B26-A63F-59EDB310FC50}">
  <sheetPr codeName="Sheet18">
    <tabColor theme="1"/>
  </sheetPr>
  <dimension ref="A1:BJ2"/>
  <sheetViews>
    <sheetView topLeftCell="A10" workbookViewId="0"/>
  </sheetViews>
  <sheetFormatPr defaultRowHeight="14.25"/>
  <cols>
    <col min="1" max="1" width="8" bestFit="1" customWidth="1"/>
    <col min="2" max="2" width="6.5" bestFit="1" customWidth="1"/>
    <col min="3" max="3" width="38.75" bestFit="1" customWidth="1"/>
    <col min="4" max="4" width="7.875" bestFit="1" customWidth="1"/>
    <col min="5" max="5" width="14.75" bestFit="1" customWidth="1"/>
    <col min="6" max="6" width="5.5" bestFit="1" customWidth="1"/>
    <col min="7" max="7" width="7.5" bestFit="1" customWidth="1"/>
    <col min="8" max="8" width="11.375" bestFit="1" customWidth="1"/>
    <col min="9" max="9" width="11.25" bestFit="1" customWidth="1"/>
    <col min="10" max="10" width="7.625" bestFit="1" customWidth="1"/>
    <col min="11" max="11" width="9.125" bestFit="1" customWidth="1"/>
    <col min="12" max="12" width="6.125" bestFit="1" customWidth="1"/>
    <col min="13" max="13" width="6.25" bestFit="1" customWidth="1"/>
    <col min="14" max="14" width="38.75" bestFit="1" customWidth="1"/>
    <col min="15" max="15" width="35.625" bestFit="1" customWidth="1"/>
    <col min="16" max="16" width="36.75" bestFit="1" customWidth="1"/>
    <col min="17" max="17" width="64.125" bestFit="1" customWidth="1"/>
    <col min="18" max="18" width="47" bestFit="1" customWidth="1"/>
    <col min="19" max="19" width="7.5" bestFit="1" customWidth="1"/>
    <col min="20" max="28" width="8.5" bestFit="1" customWidth="1"/>
    <col min="29" max="29" width="11.375" bestFit="1" customWidth="1"/>
    <col min="30" max="30" width="13" bestFit="1" customWidth="1"/>
    <col min="31" max="31" width="8.5" bestFit="1" customWidth="1"/>
    <col min="32" max="32" width="6.75" bestFit="1" customWidth="1"/>
    <col min="33" max="33" width="6.625" bestFit="1" customWidth="1"/>
    <col min="34" max="34" width="8.5" bestFit="1" customWidth="1"/>
    <col min="35" max="35" width="15.375" bestFit="1" customWidth="1"/>
    <col min="36" max="36" width="8.5" bestFit="1" customWidth="1"/>
    <col min="37" max="37" width="7.5" bestFit="1" customWidth="1"/>
    <col min="38" max="39" width="6.375" bestFit="1" customWidth="1"/>
    <col min="40" max="40" width="10" bestFit="1" customWidth="1"/>
    <col min="41" max="41" width="11.125" bestFit="1" customWidth="1"/>
    <col min="42" max="43" width="14.75" bestFit="1" customWidth="1"/>
    <col min="44" max="45" width="8.375" bestFit="1" customWidth="1"/>
  </cols>
  <sheetData>
    <row r="1" spans="1:62">
      <c r="A1" t="s">
        <v>3767</v>
      </c>
      <c r="B1" t="s">
        <v>3769</v>
      </c>
      <c r="C1" t="s">
        <v>3772</v>
      </c>
      <c r="D1" t="s">
        <v>3771</v>
      </c>
      <c r="E1" t="s">
        <v>3766</v>
      </c>
      <c r="F1" t="s">
        <v>3768</v>
      </c>
      <c r="G1" t="s">
        <v>3774</v>
      </c>
      <c r="H1" t="s">
        <v>2</v>
      </c>
      <c r="I1" t="s">
        <v>3828</v>
      </c>
      <c r="J1" t="s">
        <v>3</v>
      </c>
      <c r="K1" t="s">
        <v>4</v>
      </c>
      <c r="L1" t="s">
        <v>6</v>
      </c>
      <c r="M1" t="s">
        <v>7</v>
      </c>
      <c r="N1" t="s">
        <v>9</v>
      </c>
      <c r="O1" t="s">
        <v>19</v>
      </c>
      <c r="P1" t="s">
        <v>20</v>
      </c>
      <c r="Q1" t="s">
        <v>21</v>
      </c>
      <c r="R1" t="s">
        <v>22</v>
      </c>
      <c r="S1" t="s">
        <v>8</v>
      </c>
      <c r="T1" t="s">
        <v>29</v>
      </c>
      <c r="U1" t="s">
        <v>30</v>
      </c>
      <c r="V1" t="s">
        <v>31</v>
      </c>
      <c r="W1" t="s">
        <v>32</v>
      </c>
      <c r="X1" t="s">
        <v>33</v>
      </c>
      <c r="Y1" t="s">
        <v>34</v>
      </c>
      <c r="Z1" t="s">
        <v>156</v>
      </c>
      <c r="AA1" t="s">
        <v>157</v>
      </c>
      <c r="AB1" t="s">
        <v>158</v>
      </c>
      <c r="AC1" t="s">
        <v>161</v>
      </c>
      <c r="AD1" t="s">
        <v>162</v>
      </c>
      <c r="AE1" t="s">
        <v>163</v>
      </c>
      <c r="AF1" t="s">
        <v>5</v>
      </c>
      <c r="AG1" t="s">
        <v>3829</v>
      </c>
      <c r="AH1" t="s">
        <v>39</v>
      </c>
      <c r="AI1" t="s">
        <v>18</v>
      </c>
      <c r="AJ1" t="s">
        <v>28</v>
      </c>
      <c r="AK1" t="s">
        <v>16</v>
      </c>
      <c r="AL1" t="s">
        <v>10</v>
      </c>
      <c r="AM1" t="s">
        <v>49</v>
      </c>
      <c r="AN1" t="s">
        <v>53</v>
      </c>
      <c r="AO1" t="s">
        <v>57</v>
      </c>
      <c r="AP1" t="s">
        <v>48</v>
      </c>
      <c r="AQ1" t="s">
        <v>50</v>
      </c>
      <c r="AR1" t="s">
        <v>3641</v>
      </c>
      <c r="AS1" t="s">
        <v>51</v>
      </c>
      <c r="AT1" t="s">
        <v>52</v>
      </c>
      <c r="AU1" t="s">
        <v>23</v>
      </c>
      <c r="AV1" t="s">
        <v>318</v>
      </c>
      <c r="AW1" t="s">
        <v>325</v>
      </c>
      <c r="AX1" t="s">
        <v>395</v>
      </c>
      <c r="AY1" t="s">
        <v>601</v>
      </c>
      <c r="AZ1" t="s">
        <v>319</v>
      </c>
      <c r="BA1" t="s">
        <v>326</v>
      </c>
      <c r="BB1" t="s">
        <v>1176</v>
      </c>
      <c r="BC1" t="s">
        <v>1180</v>
      </c>
      <c r="BD1" t="s">
        <v>1184</v>
      </c>
      <c r="BE1" t="s">
        <v>1188</v>
      </c>
      <c r="BF1" t="s">
        <v>332</v>
      </c>
      <c r="BG1" t="s">
        <v>602</v>
      </c>
      <c r="BH1" t="s">
        <v>603</v>
      </c>
      <c r="BI1" t="s">
        <v>608</v>
      </c>
      <c r="BJ1" t="s">
        <v>3770</v>
      </c>
    </row>
    <row r="2" spans="1:62">
      <c r="A2">
        <v>370172</v>
      </c>
      <c r="B2">
        <v>900</v>
      </c>
      <c r="C2" t="s">
        <v>5161</v>
      </c>
      <c r="D2">
        <v>975</v>
      </c>
      <c r="E2" s="21">
        <v>45889.746331018519</v>
      </c>
      <c r="G2">
        <v>282082</v>
      </c>
      <c r="H2" t="s">
        <v>5162</v>
      </c>
      <c r="J2" t="s">
        <v>4607</v>
      </c>
      <c r="K2" t="s">
        <v>4622</v>
      </c>
      <c r="L2">
        <v>0</v>
      </c>
      <c r="M2">
        <v>0</v>
      </c>
      <c r="N2" t="s">
        <v>5161</v>
      </c>
      <c r="O2" t="s">
        <v>4653</v>
      </c>
      <c r="P2" t="s">
        <v>5163</v>
      </c>
      <c r="Q2" t="s">
        <v>5164</v>
      </c>
      <c r="R2" t="s">
        <v>5165</v>
      </c>
      <c r="S2">
        <v>369020</v>
      </c>
      <c r="T2">
        <v>732</v>
      </c>
      <c r="U2">
        <v>932</v>
      </c>
      <c r="W2">
        <v>807</v>
      </c>
      <c r="X2">
        <v>932</v>
      </c>
      <c r="Y2">
        <v>725</v>
      </c>
      <c r="Z2">
        <v>807</v>
      </c>
      <c r="AA2">
        <v>975</v>
      </c>
      <c r="AC2" t="s">
        <v>5166</v>
      </c>
      <c r="AD2" t="s">
        <v>5167</v>
      </c>
      <c r="AF2">
        <v>1</v>
      </c>
      <c r="AG2">
        <v>1</v>
      </c>
      <c r="AH2" t="s">
        <v>5168</v>
      </c>
      <c r="AI2" t="s">
        <v>5169</v>
      </c>
      <c r="AJ2" t="s">
        <v>5170</v>
      </c>
      <c r="AK2">
        <v>210700</v>
      </c>
      <c r="AL2" t="s">
        <v>4606</v>
      </c>
      <c r="AM2">
        <v>807</v>
      </c>
      <c r="AN2">
        <v>2</v>
      </c>
      <c r="AO2">
        <v>3</v>
      </c>
      <c r="AP2">
        <v>1</v>
      </c>
      <c r="AQ2">
        <v>0</v>
      </c>
      <c r="AR2">
        <v>1</v>
      </c>
      <c r="AS2">
        <v>1</v>
      </c>
      <c r="AT2" t="s">
        <v>5171</v>
      </c>
      <c r="AU2" t="s">
        <v>3841</v>
      </c>
      <c r="AV2">
        <v>0</v>
      </c>
      <c r="AW2">
        <v>0</v>
      </c>
      <c r="AX2">
        <v>5000</v>
      </c>
      <c r="AY2">
        <v>2441778</v>
      </c>
      <c r="BA2" s="20">
        <v>46040</v>
      </c>
      <c r="BB2" s="21">
        <v>45888.552523148152</v>
      </c>
      <c r="BC2" s="21">
        <v>45889.746331018519</v>
      </c>
      <c r="BG2" s="20">
        <v>45888</v>
      </c>
      <c r="BH2" t="s">
        <v>5172</v>
      </c>
      <c r="BI2" t="s">
        <v>5173</v>
      </c>
      <c r="BJ2">
        <v>807</v>
      </c>
    </row>
  </sheetData>
  <phoneticPr fontId="1"/>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901EDBF-78D6-468F-9240-28CF04AD2174}">
  <sheetPr codeName="Sheet9">
    <tabColor theme="1"/>
  </sheetPr>
  <dimension ref="B1:AL93"/>
  <sheetViews>
    <sheetView workbookViewId="0"/>
  </sheetViews>
  <sheetFormatPr defaultRowHeight="14.25"/>
  <cols>
    <col min="2" max="3" width="7.75" bestFit="1" customWidth="1"/>
    <col min="4" max="4" width="30.125" bestFit="1" customWidth="1"/>
    <col min="5" max="5" width="8.625" bestFit="1" customWidth="1"/>
    <col min="6" max="7" width="9.625" bestFit="1" customWidth="1"/>
    <col min="8" max="8" width="8" bestFit="1" customWidth="1"/>
    <col min="9" max="9" width="6.375" bestFit="1" customWidth="1"/>
    <col min="10" max="10" width="8" bestFit="1" customWidth="1"/>
    <col min="11" max="11" width="12.125" bestFit="1" customWidth="1"/>
    <col min="12" max="12" width="8" bestFit="1" customWidth="1"/>
    <col min="13" max="13" width="9.5" bestFit="1" customWidth="1"/>
    <col min="14" max="14" width="13.375" bestFit="1" customWidth="1"/>
    <col min="15" max="18" width="11.5" bestFit="1" customWidth="1"/>
    <col min="19" max="19" width="13.125" bestFit="1" customWidth="1"/>
    <col min="20" max="20" width="16.125" bestFit="1" customWidth="1"/>
    <col min="21" max="38" width="3.5" bestFit="1" customWidth="1"/>
  </cols>
  <sheetData>
    <row r="1" spans="2:38">
      <c r="B1">
        <f>COLUMN()-2</f>
        <v>0</v>
      </c>
      <c r="C1">
        <f t="shared" ref="C1:AL1" si="0">COLUMN()-2</f>
        <v>1</v>
      </c>
      <c r="D1">
        <f t="shared" si="0"/>
        <v>2</v>
      </c>
      <c r="E1">
        <f t="shared" si="0"/>
        <v>3</v>
      </c>
      <c r="F1">
        <f t="shared" si="0"/>
        <v>4</v>
      </c>
      <c r="G1">
        <f t="shared" si="0"/>
        <v>5</v>
      </c>
      <c r="H1">
        <f t="shared" si="0"/>
        <v>6</v>
      </c>
      <c r="I1">
        <f t="shared" si="0"/>
        <v>7</v>
      </c>
      <c r="J1">
        <f t="shared" si="0"/>
        <v>8</v>
      </c>
      <c r="K1">
        <f t="shared" si="0"/>
        <v>9</v>
      </c>
      <c r="L1">
        <f t="shared" si="0"/>
        <v>10</v>
      </c>
      <c r="M1">
        <f t="shared" si="0"/>
        <v>11</v>
      </c>
      <c r="N1">
        <f t="shared" si="0"/>
        <v>12</v>
      </c>
      <c r="O1">
        <f t="shared" si="0"/>
        <v>13</v>
      </c>
      <c r="P1">
        <f t="shared" si="0"/>
        <v>14</v>
      </c>
      <c r="Q1">
        <f t="shared" si="0"/>
        <v>15</v>
      </c>
      <c r="R1">
        <f t="shared" si="0"/>
        <v>16</v>
      </c>
      <c r="S1">
        <f t="shared" si="0"/>
        <v>17</v>
      </c>
      <c r="T1">
        <f t="shared" si="0"/>
        <v>18</v>
      </c>
      <c r="U1">
        <f t="shared" si="0"/>
        <v>19</v>
      </c>
      <c r="V1">
        <f t="shared" si="0"/>
        <v>20</v>
      </c>
      <c r="W1">
        <f t="shared" si="0"/>
        <v>21</v>
      </c>
      <c r="X1">
        <f t="shared" si="0"/>
        <v>22</v>
      </c>
      <c r="Y1">
        <f t="shared" si="0"/>
        <v>23</v>
      </c>
      <c r="Z1">
        <f t="shared" si="0"/>
        <v>24</v>
      </c>
      <c r="AA1">
        <f t="shared" si="0"/>
        <v>25</v>
      </c>
      <c r="AB1">
        <f t="shared" si="0"/>
        <v>26</v>
      </c>
      <c r="AC1">
        <f t="shared" si="0"/>
        <v>27</v>
      </c>
      <c r="AD1">
        <f t="shared" si="0"/>
        <v>28</v>
      </c>
      <c r="AE1">
        <f t="shared" si="0"/>
        <v>29</v>
      </c>
      <c r="AF1">
        <f t="shared" si="0"/>
        <v>30</v>
      </c>
      <c r="AG1">
        <f t="shared" si="0"/>
        <v>31</v>
      </c>
      <c r="AH1">
        <f t="shared" si="0"/>
        <v>32</v>
      </c>
      <c r="AI1">
        <f t="shared" si="0"/>
        <v>33</v>
      </c>
      <c r="AJ1">
        <f t="shared" si="0"/>
        <v>34</v>
      </c>
      <c r="AK1">
        <f t="shared" si="0"/>
        <v>35</v>
      </c>
      <c r="AL1">
        <f t="shared" si="0"/>
        <v>36</v>
      </c>
    </row>
    <row r="2" spans="2:38">
      <c r="B2" t="s">
        <v>1870</v>
      </c>
      <c r="C2" t="s">
        <v>1871</v>
      </c>
      <c r="D2" t="s">
        <v>1872</v>
      </c>
      <c r="E2" t="s">
        <v>1846</v>
      </c>
      <c r="F2" t="s">
        <v>1847</v>
      </c>
      <c r="G2" t="s">
        <v>1848</v>
      </c>
      <c r="H2" t="s">
        <v>2628</v>
      </c>
      <c r="I2" t="s">
        <v>2626</v>
      </c>
      <c r="J2" t="s">
        <v>2627</v>
      </c>
      <c r="K2" t="s">
        <v>1</v>
      </c>
      <c r="L2" t="s">
        <v>1849</v>
      </c>
      <c r="M2" t="s">
        <v>1850</v>
      </c>
      <c r="N2" t="s">
        <v>1869</v>
      </c>
      <c r="O2" t="s">
        <v>1851</v>
      </c>
      <c r="P2" t="s">
        <v>1852</v>
      </c>
      <c r="Q2" t="s">
        <v>1853</v>
      </c>
      <c r="R2" t="s">
        <v>1854</v>
      </c>
      <c r="S2" t="s">
        <v>1855</v>
      </c>
      <c r="T2" t="s">
        <v>1856</v>
      </c>
    </row>
    <row r="3" spans="2:38">
      <c r="B3">
        <v>282082</v>
      </c>
      <c r="C3">
        <v>900</v>
      </c>
      <c r="D3" t="s">
        <v>4605</v>
      </c>
      <c r="E3">
        <v>2</v>
      </c>
      <c r="F3">
        <v>109075</v>
      </c>
      <c r="G3">
        <v>732</v>
      </c>
      <c r="H3">
        <v>932</v>
      </c>
      <c r="I3">
        <v>725</v>
      </c>
      <c r="J3">
        <v>481</v>
      </c>
      <c r="K3" t="s">
        <v>4606</v>
      </c>
      <c r="L3">
        <v>1</v>
      </c>
      <c r="M3">
        <v>109103</v>
      </c>
      <c r="N3" s="20" t="s">
        <v>4607</v>
      </c>
      <c r="O3" s="20">
        <v>45842</v>
      </c>
      <c r="P3" s="20">
        <v>45557</v>
      </c>
      <c r="Q3" s="20">
        <v>45896</v>
      </c>
      <c r="R3" s="20">
        <v>45936</v>
      </c>
      <c r="S3" s="20">
        <v>46055</v>
      </c>
      <c r="T3" s="21">
        <v>46092.564236111109</v>
      </c>
      <c r="U3" s="21"/>
    </row>
    <row r="4" spans="2:38">
      <c r="N4" s="20"/>
      <c r="O4" s="20"/>
      <c r="P4" s="20"/>
      <c r="Q4" s="20"/>
      <c r="R4" s="20"/>
      <c r="S4" s="20"/>
      <c r="T4" s="21"/>
      <c r="U4" s="21"/>
    </row>
    <row r="5" spans="2:38">
      <c r="N5" s="20"/>
      <c r="O5" s="20"/>
      <c r="P5" s="20"/>
      <c r="Q5" s="20"/>
      <c r="R5" s="20"/>
      <c r="S5" s="20"/>
      <c r="T5" s="21"/>
      <c r="U5" s="21"/>
    </row>
    <row r="6" spans="2:38">
      <c r="N6" s="20"/>
      <c r="O6" s="20"/>
      <c r="P6" s="20"/>
      <c r="Q6" s="20"/>
      <c r="R6" s="20"/>
      <c r="S6" s="20"/>
      <c r="T6" s="21"/>
      <c r="U6" s="21"/>
    </row>
    <row r="7" spans="2:38">
      <c r="N7" s="20"/>
      <c r="O7" s="20"/>
      <c r="P7" s="20"/>
      <c r="Q7" s="20"/>
      <c r="R7" s="20"/>
      <c r="S7" s="20"/>
      <c r="T7" s="21"/>
      <c r="U7" s="21"/>
    </row>
    <row r="8" spans="2:38">
      <c r="N8" s="20"/>
      <c r="O8" s="20"/>
      <c r="P8" s="20"/>
      <c r="Q8" s="20"/>
      <c r="R8" s="20"/>
      <c r="S8" s="20"/>
      <c r="T8" s="21"/>
      <c r="U8" s="21"/>
    </row>
    <row r="9" spans="2:38">
      <c r="N9" s="20"/>
      <c r="O9" s="20"/>
      <c r="P9" s="20"/>
      <c r="Q9" s="20"/>
      <c r="R9" s="20"/>
      <c r="S9" s="20"/>
      <c r="T9" s="21"/>
      <c r="U9" s="21"/>
    </row>
    <row r="10" spans="2:38">
      <c r="N10" s="20"/>
      <c r="O10" s="20"/>
      <c r="P10" s="20"/>
      <c r="Q10" s="20"/>
      <c r="R10" s="20"/>
      <c r="S10" s="20"/>
      <c r="T10" s="21"/>
      <c r="U10" s="21"/>
    </row>
    <row r="11" spans="2:38">
      <c r="O11" s="20"/>
      <c r="P11" s="20"/>
      <c r="Q11" s="20"/>
      <c r="R11" s="20"/>
      <c r="S11" s="20"/>
      <c r="T11" s="21"/>
    </row>
    <row r="12" spans="2:38">
      <c r="O12" s="20"/>
      <c r="P12" s="20"/>
      <c r="Q12" s="20"/>
      <c r="R12" s="20"/>
      <c r="S12" s="20"/>
      <c r="T12" s="21"/>
    </row>
    <row r="13" spans="2:38">
      <c r="O13" s="20"/>
      <c r="P13" s="20"/>
      <c r="Q13" s="20"/>
      <c r="R13" s="20"/>
      <c r="S13" s="20"/>
      <c r="T13" s="21"/>
    </row>
    <row r="14" spans="2:38">
      <c r="O14" s="20"/>
      <c r="P14" s="20"/>
      <c r="Q14" s="20"/>
      <c r="R14" s="20"/>
      <c r="S14" s="20"/>
      <c r="T14" s="21"/>
    </row>
    <row r="15" spans="2:38">
      <c r="O15" s="20"/>
      <c r="P15" s="20"/>
      <c r="Q15" s="20"/>
      <c r="R15" s="20"/>
      <c r="S15" s="20"/>
      <c r="T15" s="21"/>
    </row>
    <row r="16" spans="2:38">
      <c r="O16" s="20"/>
      <c r="P16" s="20"/>
      <c r="Q16" s="20"/>
      <c r="R16" s="20"/>
      <c r="S16" s="20"/>
      <c r="T16" s="21"/>
    </row>
    <row r="17" spans="15:20">
      <c r="O17" s="20"/>
      <c r="P17" s="20"/>
      <c r="Q17" s="20"/>
      <c r="R17" s="20"/>
      <c r="S17" s="20"/>
      <c r="T17" s="21"/>
    </row>
    <row r="18" spans="15:20">
      <c r="O18" s="20"/>
      <c r="P18" s="20"/>
      <c r="Q18" s="20"/>
      <c r="R18" s="20"/>
      <c r="S18" s="20"/>
      <c r="T18" s="21"/>
    </row>
    <row r="19" spans="15:20">
      <c r="O19" s="20"/>
      <c r="P19" s="20"/>
      <c r="Q19" s="20"/>
      <c r="R19" s="20"/>
      <c r="S19" s="20"/>
      <c r="T19" s="21"/>
    </row>
    <row r="20" spans="15:20">
      <c r="O20" s="20"/>
      <c r="P20" s="20"/>
      <c r="Q20" s="20"/>
      <c r="R20" s="20"/>
      <c r="S20" s="20"/>
      <c r="T20" s="21"/>
    </row>
    <row r="21" spans="15:20">
      <c r="O21" s="20"/>
      <c r="P21" s="20"/>
      <c r="Q21" s="20"/>
      <c r="R21" s="20"/>
      <c r="S21" s="20"/>
      <c r="T21" s="21"/>
    </row>
    <row r="22" spans="15:20">
      <c r="O22" s="20"/>
      <c r="P22" s="20"/>
      <c r="Q22" s="20"/>
      <c r="R22" s="20"/>
      <c r="S22" s="20"/>
      <c r="T22" s="21"/>
    </row>
    <row r="23" spans="15:20">
      <c r="O23" s="20"/>
      <c r="P23" s="20"/>
      <c r="Q23" s="20"/>
      <c r="R23" s="20"/>
      <c r="S23" s="20"/>
      <c r="T23" s="21"/>
    </row>
    <row r="24" spans="15:20">
      <c r="O24" s="20"/>
      <c r="P24" s="20"/>
      <c r="Q24" s="20"/>
      <c r="R24" s="20"/>
      <c r="S24" s="20"/>
      <c r="T24" s="21"/>
    </row>
    <row r="25" spans="15:20">
      <c r="O25" s="20"/>
      <c r="P25" s="20"/>
      <c r="Q25" s="20"/>
      <c r="R25" s="20"/>
      <c r="S25" s="20"/>
      <c r="T25" s="21"/>
    </row>
    <row r="26" spans="15:20">
      <c r="O26" s="20"/>
      <c r="P26" s="20"/>
      <c r="Q26" s="20"/>
      <c r="R26" s="20"/>
      <c r="S26" s="20"/>
      <c r="T26" s="21"/>
    </row>
    <row r="27" spans="15:20">
      <c r="O27" s="20"/>
      <c r="P27" s="20"/>
      <c r="Q27" s="20"/>
      <c r="R27" s="20"/>
      <c r="S27" s="20"/>
      <c r="T27" s="21"/>
    </row>
    <row r="28" spans="15:20">
      <c r="O28" s="20"/>
      <c r="P28" s="20"/>
      <c r="Q28" s="20"/>
      <c r="R28" s="20"/>
      <c r="S28" s="20"/>
      <c r="T28" s="21"/>
    </row>
    <row r="29" spans="15:20">
      <c r="O29" s="20"/>
      <c r="P29" s="20"/>
      <c r="Q29" s="20"/>
      <c r="R29" s="20"/>
      <c r="S29" s="20"/>
      <c r="T29" s="21"/>
    </row>
    <row r="30" spans="15:20">
      <c r="O30" s="20"/>
      <c r="P30" s="20"/>
      <c r="Q30" s="20"/>
      <c r="R30" s="20"/>
      <c r="S30" s="20"/>
      <c r="T30" s="21"/>
    </row>
    <row r="31" spans="15:20">
      <c r="O31" s="20"/>
      <c r="P31" s="20"/>
      <c r="Q31" s="20"/>
      <c r="R31" s="20"/>
      <c r="S31" s="20"/>
      <c r="T31" s="21"/>
    </row>
    <row r="32" spans="15:20">
      <c r="O32" s="20"/>
      <c r="P32" s="20"/>
      <c r="Q32" s="20"/>
      <c r="R32" s="20"/>
      <c r="S32" s="20"/>
      <c r="T32" s="21"/>
    </row>
    <row r="33" spans="15:20">
      <c r="O33" s="20"/>
      <c r="P33" s="20"/>
      <c r="Q33" s="20"/>
      <c r="R33" s="20"/>
      <c r="S33" s="20"/>
      <c r="T33" s="21"/>
    </row>
    <row r="34" spans="15:20">
      <c r="O34" s="20"/>
      <c r="P34" s="20"/>
      <c r="Q34" s="20"/>
      <c r="R34" s="20"/>
      <c r="S34" s="20"/>
      <c r="T34" s="21"/>
    </row>
    <row r="35" spans="15:20">
      <c r="O35" s="20"/>
      <c r="P35" s="20"/>
      <c r="Q35" s="20"/>
      <c r="R35" s="20"/>
      <c r="S35" s="20"/>
      <c r="T35" s="21"/>
    </row>
    <row r="36" spans="15:20">
      <c r="O36" s="20"/>
      <c r="P36" s="20"/>
      <c r="Q36" s="20"/>
      <c r="R36" s="20"/>
      <c r="S36" s="20"/>
      <c r="T36" s="21"/>
    </row>
    <row r="37" spans="15:20">
      <c r="O37" s="20"/>
      <c r="P37" s="20"/>
      <c r="Q37" s="20"/>
      <c r="R37" s="20"/>
      <c r="S37" s="20"/>
      <c r="T37" s="21"/>
    </row>
    <row r="38" spans="15:20">
      <c r="O38" s="20"/>
      <c r="P38" s="20"/>
      <c r="Q38" s="20"/>
      <c r="R38" s="20"/>
      <c r="S38" s="20"/>
      <c r="T38" s="21"/>
    </row>
    <row r="39" spans="15:20">
      <c r="O39" s="20"/>
      <c r="P39" s="20"/>
      <c r="Q39" s="20"/>
      <c r="R39" s="20"/>
      <c r="S39" s="20"/>
      <c r="T39" s="21"/>
    </row>
    <row r="40" spans="15:20">
      <c r="O40" s="20"/>
      <c r="P40" s="20"/>
      <c r="Q40" s="20"/>
      <c r="R40" s="20"/>
      <c r="S40" s="20"/>
      <c r="T40" s="21"/>
    </row>
    <row r="41" spans="15:20">
      <c r="O41" s="20"/>
      <c r="P41" s="20"/>
      <c r="Q41" s="20"/>
      <c r="R41" s="20"/>
      <c r="S41" s="20"/>
      <c r="T41" s="21"/>
    </row>
    <row r="42" spans="15:20">
      <c r="O42" s="20"/>
      <c r="P42" s="20"/>
      <c r="Q42" s="20"/>
      <c r="R42" s="20"/>
      <c r="S42" s="20"/>
      <c r="T42" s="21"/>
    </row>
    <row r="43" spans="15:20">
      <c r="O43" s="20"/>
      <c r="P43" s="20"/>
      <c r="Q43" s="20"/>
      <c r="R43" s="20"/>
      <c r="S43" s="20"/>
      <c r="T43" s="21"/>
    </row>
    <row r="44" spans="15:20">
      <c r="O44" s="20"/>
      <c r="P44" s="20"/>
      <c r="Q44" s="20"/>
      <c r="R44" s="20"/>
      <c r="S44" s="20"/>
      <c r="T44" s="21"/>
    </row>
    <row r="45" spans="15:20">
      <c r="O45" s="20"/>
      <c r="P45" s="20"/>
      <c r="Q45" s="20"/>
      <c r="R45" s="20"/>
      <c r="S45" s="20"/>
      <c r="T45" s="21"/>
    </row>
    <row r="46" spans="15:20">
      <c r="O46" s="20"/>
      <c r="P46" s="20"/>
      <c r="Q46" s="20"/>
      <c r="R46" s="20"/>
      <c r="S46" s="20"/>
      <c r="T46" s="21"/>
    </row>
    <row r="47" spans="15:20">
      <c r="O47" s="20"/>
      <c r="P47" s="20"/>
      <c r="Q47" s="20"/>
      <c r="R47" s="20"/>
      <c r="S47" s="20"/>
      <c r="T47" s="21"/>
    </row>
    <row r="48" spans="15:20">
      <c r="O48" s="20"/>
      <c r="P48" s="20"/>
      <c r="Q48" s="20"/>
      <c r="R48" s="20"/>
      <c r="S48" s="20"/>
      <c r="T48" s="21"/>
    </row>
    <row r="49" spans="15:20">
      <c r="O49" s="20"/>
      <c r="P49" s="20"/>
      <c r="Q49" s="20"/>
      <c r="R49" s="20"/>
      <c r="S49" s="20"/>
      <c r="T49" s="21"/>
    </row>
    <row r="50" spans="15:20">
      <c r="O50" s="20"/>
      <c r="P50" s="20"/>
      <c r="Q50" s="20"/>
      <c r="R50" s="20"/>
      <c r="S50" s="20"/>
      <c r="T50" s="21"/>
    </row>
    <row r="51" spans="15:20">
      <c r="O51" s="20"/>
      <c r="P51" s="20"/>
      <c r="Q51" s="20"/>
      <c r="R51" s="20"/>
      <c r="S51" s="20"/>
      <c r="T51" s="21"/>
    </row>
    <row r="52" spans="15:20">
      <c r="O52" s="20"/>
      <c r="P52" s="20"/>
      <c r="Q52" s="20"/>
      <c r="R52" s="20"/>
      <c r="S52" s="20"/>
      <c r="T52" s="21"/>
    </row>
    <row r="53" spans="15:20">
      <c r="O53" s="20"/>
      <c r="P53" s="20"/>
      <c r="Q53" s="20"/>
      <c r="R53" s="20"/>
      <c r="S53" s="20"/>
      <c r="T53" s="21"/>
    </row>
    <row r="54" spans="15:20">
      <c r="O54" s="20"/>
      <c r="P54" s="20"/>
      <c r="Q54" s="20"/>
      <c r="R54" s="20"/>
      <c r="S54" s="20"/>
      <c r="T54" s="21"/>
    </row>
    <row r="55" spans="15:20">
      <c r="O55" s="20"/>
      <c r="P55" s="20"/>
      <c r="Q55" s="20"/>
      <c r="R55" s="20"/>
      <c r="S55" s="20"/>
      <c r="T55" s="21"/>
    </row>
    <row r="56" spans="15:20">
      <c r="O56" s="20"/>
      <c r="P56" s="20"/>
      <c r="Q56" s="20"/>
      <c r="R56" s="20"/>
      <c r="S56" s="20"/>
      <c r="T56" s="21"/>
    </row>
    <row r="57" spans="15:20">
      <c r="O57" s="20"/>
      <c r="P57" s="20"/>
      <c r="Q57" s="20"/>
      <c r="R57" s="20"/>
      <c r="S57" s="20"/>
      <c r="T57" s="21"/>
    </row>
    <row r="58" spans="15:20">
      <c r="O58" s="20"/>
      <c r="P58" s="20"/>
      <c r="Q58" s="20"/>
      <c r="R58" s="20"/>
      <c r="S58" s="20"/>
      <c r="T58" s="21"/>
    </row>
    <row r="59" spans="15:20">
      <c r="O59" s="20"/>
      <c r="P59" s="20"/>
      <c r="Q59" s="20"/>
      <c r="R59" s="20"/>
      <c r="S59" s="20"/>
      <c r="T59" s="21"/>
    </row>
    <row r="60" spans="15:20">
      <c r="O60" s="20"/>
      <c r="P60" s="20"/>
      <c r="Q60" s="20"/>
      <c r="R60" s="20"/>
      <c r="S60" s="20"/>
      <c r="T60" s="21"/>
    </row>
    <row r="61" spans="15:20">
      <c r="O61" s="20"/>
      <c r="P61" s="20"/>
      <c r="Q61" s="20"/>
      <c r="R61" s="20"/>
      <c r="S61" s="20"/>
      <c r="T61" s="21"/>
    </row>
    <row r="62" spans="15:20">
      <c r="O62" s="20"/>
      <c r="P62" s="20"/>
      <c r="Q62" s="20"/>
      <c r="R62" s="20"/>
      <c r="S62" s="20"/>
      <c r="T62" s="21"/>
    </row>
    <row r="63" spans="15:20">
      <c r="O63" s="20"/>
      <c r="P63" s="20"/>
      <c r="Q63" s="20"/>
      <c r="R63" s="20"/>
      <c r="S63" s="20"/>
      <c r="T63" s="21"/>
    </row>
    <row r="64" spans="15:20">
      <c r="O64" s="20"/>
      <c r="P64" s="20"/>
      <c r="Q64" s="20"/>
      <c r="R64" s="20"/>
      <c r="S64" s="20"/>
      <c r="T64" s="21"/>
    </row>
    <row r="65" spans="15:20">
      <c r="O65" s="20"/>
      <c r="P65" s="20"/>
      <c r="Q65" s="20"/>
      <c r="R65" s="20"/>
      <c r="S65" s="20"/>
      <c r="T65" s="21"/>
    </row>
    <row r="66" spans="15:20">
      <c r="O66" s="20"/>
      <c r="P66" s="20"/>
      <c r="Q66" s="20"/>
      <c r="R66" s="20"/>
      <c r="S66" s="20"/>
      <c r="T66" s="21"/>
    </row>
    <row r="67" spans="15:20">
      <c r="O67" s="20"/>
      <c r="P67" s="20"/>
      <c r="Q67" s="20"/>
      <c r="R67" s="20"/>
      <c r="S67" s="20"/>
      <c r="T67" s="21"/>
    </row>
    <row r="68" spans="15:20">
      <c r="O68" s="20"/>
      <c r="P68" s="20"/>
      <c r="Q68" s="20"/>
      <c r="R68" s="20"/>
      <c r="S68" s="20"/>
      <c r="T68" s="21"/>
    </row>
    <row r="69" spans="15:20">
      <c r="O69" s="20"/>
      <c r="P69" s="20"/>
      <c r="Q69" s="20"/>
      <c r="R69" s="20"/>
      <c r="S69" s="20"/>
      <c r="T69" s="21"/>
    </row>
    <row r="70" spans="15:20">
      <c r="O70" s="20"/>
      <c r="P70" s="20"/>
      <c r="Q70" s="20"/>
      <c r="R70" s="20"/>
      <c r="S70" s="20"/>
      <c r="T70" s="21"/>
    </row>
    <row r="71" spans="15:20">
      <c r="O71" s="20"/>
      <c r="P71" s="20"/>
      <c r="Q71" s="20"/>
      <c r="R71" s="20"/>
      <c r="S71" s="20"/>
      <c r="T71" s="21"/>
    </row>
    <row r="72" spans="15:20">
      <c r="O72" s="20"/>
      <c r="P72" s="20"/>
      <c r="Q72" s="20"/>
      <c r="R72" s="20"/>
      <c r="S72" s="20"/>
      <c r="T72" s="21"/>
    </row>
    <row r="73" spans="15:20">
      <c r="O73" s="20"/>
      <c r="P73" s="20"/>
      <c r="Q73" s="20"/>
      <c r="R73" s="20"/>
      <c r="S73" s="20"/>
      <c r="T73" s="21"/>
    </row>
    <row r="74" spans="15:20">
      <c r="O74" s="20"/>
      <c r="P74" s="20"/>
      <c r="Q74" s="20"/>
      <c r="R74" s="20"/>
      <c r="S74" s="20"/>
      <c r="T74" s="21"/>
    </row>
    <row r="75" spans="15:20">
      <c r="O75" s="20"/>
      <c r="P75" s="20"/>
      <c r="Q75" s="20"/>
      <c r="R75" s="20"/>
      <c r="S75" s="20"/>
      <c r="T75" s="21"/>
    </row>
    <row r="76" spans="15:20">
      <c r="O76" s="20"/>
      <c r="P76" s="20"/>
      <c r="Q76" s="20"/>
      <c r="R76" s="20"/>
      <c r="S76" s="20"/>
      <c r="T76" s="21"/>
    </row>
    <row r="77" spans="15:20">
      <c r="O77" s="20"/>
      <c r="P77" s="20"/>
      <c r="Q77" s="20"/>
      <c r="R77" s="20"/>
      <c r="S77" s="20"/>
      <c r="T77" s="21"/>
    </row>
    <row r="78" spans="15:20">
      <c r="O78" s="20"/>
      <c r="P78" s="20"/>
      <c r="Q78" s="20"/>
      <c r="R78" s="20"/>
      <c r="S78" s="20"/>
      <c r="T78" s="21"/>
    </row>
    <row r="79" spans="15:20">
      <c r="O79" s="20"/>
      <c r="P79" s="20"/>
      <c r="Q79" s="20"/>
      <c r="R79" s="20"/>
      <c r="S79" s="20"/>
      <c r="T79" s="21"/>
    </row>
    <row r="80" spans="15:20">
      <c r="O80" s="20"/>
      <c r="P80" s="20"/>
      <c r="Q80" s="20"/>
      <c r="R80" s="20"/>
      <c r="S80" s="20"/>
      <c r="T80" s="21"/>
    </row>
    <row r="81" spans="15:20">
      <c r="O81" s="20"/>
      <c r="Q81" s="20"/>
      <c r="R81" s="20"/>
      <c r="S81" s="20"/>
      <c r="T81" s="21"/>
    </row>
    <row r="82" spans="15:20">
      <c r="O82" s="20"/>
      <c r="P82" s="20"/>
      <c r="Q82" s="20"/>
      <c r="R82" s="20"/>
      <c r="S82" s="20"/>
      <c r="T82" s="21"/>
    </row>
    <row r="83" spans="15:20">
      <c r="O83" s="20"/>
      <c r="P83" s="20"/>
      <c r="Q83" s="20"/>
      <c r="R83" s="20"/>
      <c r="S83" s="20"/>
      <c r="T83" s="21"/>
    </row>
    <row r="84" spans="15:20">
      <c r="O84" s="20"/>
      <c r="P84" s="20"/>
      <c r="Q84" s="20"/>
      <c r="R84" s="20"/>
      <c r="S84" s="20"/>
      <c r="T84" s="21"/>
    </row>
    <row r="85" spans="15:20">
      <c r="O85" s="20"/>
      <c r="P85" s="20"/>
      <c r="Q85" s="20"/>
      <c r="R85" s="20"/>
      <c r="S85" s="20"/>
      <c r="T85" s="21"/>
    </row>
    <row r="86" spans="15:20">
      <c r="O86" s="20"/>
      <c r="P86" s="20"/>
      <c r="Q86" s="20"/>
      <c r="R86" s="20"/>
      <c r="S86" s="20"/>
      <c r="T86" s="21"/>
    </row>
    <row r="87" spans="15:20">
      <c r="O87" s="20"/>
      <c r="P87" s="20"/>
      <c r="Q87" s="20"/>
      <c r="R87" s="20"/>
      <c r="S87" s="20"/>
      <c r="T87" s="21"/>
    </row>
    <row r="88" spans="15:20">
      <c r="O88" s="20"/>
      <c r="P88" s="20"/>
      <c r="Q88" s="20"/>
      <c r="R88" s="20"/>
      <c r="S88" s="20"/>
      <c r="T88" s="21"/>
    </row>
    <row r="89" spans="15:20">
      <c r="O89" s="20"/>
      <c r="P89" s="20"/>
      <c r="Q89" s="20"/>
      <c r="R89" s="20"/>
      <c r="S89" s="20"/>
      <c r="T89" s="21"/>
    </row>
    <row r="90" spans="15:20">
      <c r="O90" s="20"/>
      <c r="P90" s="20"/>
      <c r="Q90" s="20"/>
      <c r="R90" s="20"/>
      <c r="S90" s="20"/>
      <c r="T90" s="21"/>
    </row>
    <row r="91" spans="15:20">
      <c r="O91" s="20"/>
      <c r="P91" s="20"/>
      <c r="Q91" s="20"/>
      <c r="R91" s="20"/>
      <c r="S91" s="20"/>
      <c r="T91" s="21"/>
    </row>
    <row r="92" spans="15:20">
      <c r="O92" s="20"/>
      <c r="P92" s="20"/>
      <c r="Q92" s="20"/>
      <c r="R92" s="20"/>
      <c r="S92" s="20"/>
      <c r="T92" s="21"/>
    </row>
    <row r="93" spans="15:20">
      <c r="O93" s="20"/>
      <c r="P93" s="20"/>
      <c r="Q93" s="20"/>
      <c r="R93" s="20"/>
      <c r="S93" s="20"/>
      <c r="T93" s="21"/>
    </row>
  </sheetData>
  <phoneticPr fontId="1"/>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A11ABE1-BC62-4F19-AC78-6C203416775B}">
  <sheetPr codeName="Sheet8">
    <tabColor theme="1"/>
  </sheetPr>
  <dimension ref="A1:Q34"/>
  <sheetViews>
    <sheetView zoomScale="130" zoomScaleNormal="130" workbookViewId="0"/>
  </sheetViews>
  <sheetFormatPr defaultColWidth="9" defaultRowHeight="14.25"/>
  <cols>
    <col min="1" max="2" width="9" style="5"/>
    <col min="3" max="4" width="16" style="5" customWidth="1"/>
    <col min="5" max="5" width="9" style="5"/>
    <col min="6" max="6" width="11" style="5" bestFit="1" customWidth="1"/>
    <col min="7" max="8" width="9" style="5"/>
    <col min="9" max="9" width="12.375" style="5" bestFit="1" customWidth="1"/>
    <col min="10" max="10" width="31.25" style="5" bestFit="1" customWidth="1"/>
    <col min="11" max="16384" width="9" style="5"/>
  </cols>
  <sheetData>
    <row r="1" spans="1:17">
      <c r="A1" s="5">
        <f>COLUMN()</f>
        <v>1</v>
      </c>
      <c r="B1" s="5">
        <f>COLUMN()</f>
        <v>2</v>
      </c>
      <c r="C1" s="5">
        <f>COLUMN()</f>
        <v>3</v>
      </c>
      <c r="D1" s="5">
        <f>COLUMN()</f>
        <v>4</v>
      </c>
      <c r="E1" s="5">
        <f>COLUMN()</f>
        <v>5</v>
      </c>
      <c r="F1" s="5">
        <f>COLUMN()</f>
        <v>6</v>
      </c>
      <c r="G1" s="5">
        <f>COLUMN()</f>
        <v>7</v>
      </c>
      <c r="H1" s="5">
        <f>COLUMN()</f>
        <v>8</v>
      </c>
      <c r="I1" s="5">
        <f>COLUMN()</f>
        <v>9</v>
      </c>
      <c r="J1" s="5">
        <f>COLUMN()</f>
        <v>10</v>
      </c>
      <c r="K1" s="5">
        <f>COLUMN()</f>
        <v>11</v>
      </c>
      <c r="L1" s="5">
        <f>COLUMN()</f>
        <v>12</v>
      </c>
      <c r="M1" s="5">
        <f>COLUMN()</f>
        <v>13</v>
      </c>
      <c r="N1" s="5">
        <f>COLUMN()</f>
        <v>14</v>
      </c>
      <c r="O1" s="5">
        <f>COLUMN()</f>
        <v>15</v>
      </c>
      <c r="P1" s="5">
        <f>COLUMN()</f>
        <v>16</v>
      </c>
      <c r="Q1" s="5">
        <f>COLUMN()</f>
        <v>17</v>
      </c>
    </row>
    <row r="2" spans="1:17">
      <c r="B2" s="5" t="s">
        <v>1692</v>
      </c>
      <c r="C2" s="13" t="str">
        <f>営業所指定</f>
        <v>アクティエ八王子</v>
      </c>
      <c r="E2" s="5" t="s">
        <v>1886</v>
      </c>
      <c r="F2" s="5" t="s">
        <v>1887</v>
      </c>
      <c r="G2" s="5" t="s">
        <v>1888</v>
      </c>
      <c r="H2" s="5" t="s">
        <v>1889</v>
      </c>
      <c r="I2" s="5" t="s">
        <v>1890</v>
      </c>
      <c r="J2" s="5" t="s">
        <v>1891</v>
      </c>
    </row>
    <row r="3" spans="1:17">
      <c r="B3" s="5" t="s">
        <v>1857</v>
      </c>
      <c r="C3" s="13">
        <f>_xlfn.XLOOKUP(営業所指定,営業所リスト[店舗名],営業所リスト[ID],"",0)</f>
        <v>109075</v>
      </c>
      <c r="E3" s="5" t="e" cm="1" vm="1">
        <f t="array" ref="E3">_xlfn._xlws.FILTER(社員リスト[],社員リスト[組織]=組織名)</f>
        <v>#VALUE!</v>
      </c>
    </row>
    <row r="4" spans="1:17">
      <c r="B4" s="5" t="s">
        <v>2845</v>
      </c>
      <c r="C4" s="13" t="str">
        <f>_xlfn.XLOOKUP(営業所指定,営業所リスト[店舗名],営業所リスト[組織名],"",0)</f>
        <v>アクティエ八王子・相模原SR</v>
      </c>
    </row>
    <row r="6" spans="1:17">
      <c r="B6" s="5" t="s">
        <v>1844</v>
      </c>
      <c r="C6" s="13" t="str">
        <f>ステータス</f>
        <v>[本契]最終</v>
      </c>
    </row>
    <row r="7" spans="1:17">
      <c r="B7" s="5" t="s">
        <v>1857</v>
      </c>
      <c r="C7" s="13">
        <f>_xlfn.XLOOKUP(ステータス,ステータス一覧[ステータス],ステータス一覧[ステータスID],"",0)</f>
        <v>900</v>
      </c>
    </row>
    <row r="9" spans="1:17">
      <c r="B9" s="5" t="s">
        <v>2842</v>
      </c>
      <c r="C9" s="13">
        <f>役員指定</f>
        <v>0</v>
      </c>
    </row>
    <row r="10" spans="1:17">
      <c r="B10" s="5" t="s">
        <v>1857</v>
      </c>
      <c r="C10" s="13" t="str">
        <f>_xlfn.XLOOKUP(C9,役員リスト[名前],役員リスト[ユーザID],"")</f>
        <v/>
      </c>
    </row>
    <row r="12" spans="1:17">
      <c r="B12" s="5" t="s">
        <v>2841</v>
      </c>
      <c r="C12" s="13">
        <f>営業指定</f>
        <v>0</v>
      </c>
    </row>
    <row r="13" spans="1:17">
      <c r="B13" s="5" t="s">
        <v>1857</v>
      </c>
      <c r="C13" s="13" t="str">
        <f>_xlfn.XLOOKUP(C12,社員リスト[名前],社員リスト[ユーザID],"")</f>
        <v/>
      </c>
    </row>
    <row r="15" spans="1:17">
      <c r="B15" s="5" t="s">
        <v>2632</v>
      </c>
      <c r="C15" s="13">
        <f>設計指定</f>
        <v>0</v>
      </c>
    </row>
    <row r="16" spans="1:17">
      <c r="B16" s="5" t="s">
        <v>1857</v>
      </c>
      <c r="C16" s="13" t="str">
        <f>_xlfn.XLOOKUP(C15,社員リスト[名前],社員リスト[ユーザID],"")</f>
        <v/>
      </c>
    </row>
    <row r="18" spans="2:4">
      <c r="B18" s="5" t="s">
        <v>1846</v>
      </c>
      <c r="C18" s="13">
        <f>シート分類指定</f>
        <v>0</v>
      </c>
    </row>
    <row r="19" spans="2:4">
      <c r="B19" s="5" t="s">
        <v>1857</v>
      </c>
      <c r="C19" s="13" t="str">
        <f>_xlfn.XLOOKUP(C18,シート分類一覧[種別],シート分類一覧[シート分類],"")</f>
        <v/>
      </c>
    </row>
    <row r="23" spans="2:4">
      <c r="B23" s="97" t="s">
        <v>222</v>
      </c>
      <c r="C23" s="98" t="str">
        <f>主担当営業</f>
        <v>732</v>
      </c>
      <c r="D23" s="99" t="str">
        <f>IF(C23="","",_xlfn.XLOOKUP(C23+0,社員リスト[ユーザID],社員リスト[名前],"",0))</f>
        <v>中村 賢治</v>
      </c>
    </row>
    <row r="24" spans="2:4">
      <c r="B24" s="97" t="s">
        <v>223</v>
      </c>
      <c r="C24" s="98" t="str">
        <f>副担当営業</f>
        <v/>
      </c>
      <c r="D24" s="99" t="str">
        <f>IF(C24="","",_xlfn.XLOOKUP(C24+0,社員リスト[ユーザID],社員リスト[名前],"",0))</f>
        <v/>
      </c>
    </row>
    <row r="25" spans="2:4">
      <c r="B25" s="97" t="s">
        <v>224</v>
      </c>
      <c r="C25" s="98" t="str">
        <f>営業設計</f>
        <v>932</v>
      </c>
      <c r="D25" s="99" t="str">
        <f>IF(C25="","",_xlfn.XLOOKUP(C25+0,社員リスト[ユーザID],社員リスト[名前],"",0))</f>
        <v>津原 陸斗</v>
      </c>
    </row>
    <row r="26" spans="2:4">
      <c r="B26" s="97" t="s">
        <v>225</v>
      </c>
      <c r="C26" s="98" t="str">
        <f>担当監督</f>
        <v>812</v>
      </c>
      <c r="D26" s="99" t="str">
        <f>IF(C26="","",_xlfn.XLOOKUP(C26+0,社員リスト[ユーザID],社員リスト[名前],"",0))</f>
        <v>遠藤 ユウジ</v>
      </c>
    </row>
    <row r="27" spans="2:4">
      <c r="B27" s="97" t="s">
        <v>226</v>
      </c>
      <c r="C27" s="98" t="str">
        <f>担当IC</f>
        <v>807</v>
      </c>
      <c r="D27" s="99" t="str">
        <f>IF(C27="","",_xlfn.XLOOKUP(C27+0,社員リスト[ユーザID],社員リスト[名前],"",0))</f>
        <v>金井 志織</v>
      </c>
    </row>
    <row r="28" spans="2:4">
      <c r="B28" s="97" t="s">
        <v>227</v>
      </c>
      <c r="C28" s="98" t="str">
        <f>管理設計</f>
        <v>932</v>
      </c>
      <c r="D28" s="99" t="str">
        <f>IF(C28="","",_xlfn.XLOOKUP(C28+0,社員リスト[ユーザID],社員リスト[名前],"",0))</f>
        <v>津原 陸斗</v>
      </c>
    </row>
    <row r="29" spans="2:4">
      <c r="B29" s="97" t="s">
        <v>240</v>
      </c>
      <c r="C29" s="98" t="str">
        <f>所属長</f>
        <v>725</v>
      </c>
      <c r="D29" s="99" t="str">
        <f>IF(C29="","",_xlfn.XLOOKUP(C29+0,社員リスト[ユーザID],社員リスト[名前],"",0))</f>
        <v>溝口 大介</v>
      </c>
    </row>
    <row r="30" spans="2:4">
      <c r="B30" s="97" t="s">
        <v>3047</v>
      </c>
      <c r="C30" s="98" t="str">
        <f>積算チェック者</f>
        <v>807</v>
      </c>
      <c r="D30" s="99" t="str">
        <f>IF(C30="","",_xlfn.XLOOKUP(C30+0,社員リスト[ユーザID],社員リスト[名前],"",0))</f>
        <v>金井 志織</v>
      </c>
    </row>
    <row r="31" spans="2:4">
      <c r="B31" s="5" t="s">
        <v>269</v>
      </c>
      <c r="C31" s="98" t="str">
        <f>担当役員</f>
        <v>481</v>
      </c>
      <c r="D31" s="99" t="str">
        <f>IF(C31="","",_xlfn.XLOOKUP(C31+0,社員リスト[ユーザID],社員リスト[名前],"",0))</f>
        <v>佐藤 宏幸</v>
      </c>
    </row>
    <row r="32" spans="2:4">
      <c r="B32" s="5" t="s">
        <v>270</v>
      </c>
      <c r="C32" s="98" t="str">
        <f>エリア担当者</f>
        <v>812</v>
      </c>
      <c r="D32" s="99" t="str">
        <f>IF(C32="","",_xlfn.XLOOKUP(C32+0,社員リスト[ユーザID],社員リスト[名前],"",0))</f>
        <v>遠藤 ユウジ</v>
      </c>
    </row>
    <row r="33" spans="2:4">
      <c r="B33" s="5" t="s">
        <v>3064</v>
      </c>
      <c r="C33" s="98">
        <f>作成者</f>
        <v>738</v>
      </c>
      <c r="D33" s="99" t="str">
        <f>IF(C33="","",_xlfn.XLOOKUP(C33+0,社員リスト[ユーザID],社員リスト[名前],"",0))</f>
        <v>(退職) 戸井田 勇弥</v>
      </c>
    </row>
    <row r="34" spans="2:4">
      <c r="B34" s="5" t="s">
        <v>3065</v>
      </c>
      <c r="C34" s="98">
        <f>更新者</f>
        <v>995</v>
      </c>
      <c r="D34" s="99" t="str">
        <f>IF(C34="","",_xlfn.XLOOKUP(C34+0,社員リスト[ユーザID],社員リスト[名前],"",0))</f>
        <v>システムユーザ</v>
      </c>
    </row>
  </sheetData>
  <phoneticPr fontId="1"/>
  <pageMargins left="0.7" right="0.7" top="0.75" bottom="0.75" header="0.3" footer="0.3"/>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11415B3-22B9-4EB4-893E-41A8E37DAB5C}">
  <sheetPr codeName="Sheet7">
    <tabColor theme="1"/>
  </sheetPr>
  <dimension ref="B3:AQ12781"/>
  <sheetViews>
    <sheetView zoomScale="70" zoomScaleNormal="70" workbookViewId="0"/>
  </sheetViews>
  <sheetFormatPr defaultColWidth="9" defaultRowHeight="14.25"/>
  <cols>
    <col min="1" max="1" width="4.25" style="5" customWidth="1"/>
    <col min="2" max="2" width="16.375" style="5" bestFit="1" customWidth="1"/>
    <col min="3" max="3" width="20.5" style="5" bestFit="1" customWidth="1"/>
    <col min="4" max="4" width="16.375" style="5" bestFit="1" customWidth="1"/>
    <col min="5" max="5" width="12.625" style="5" bestFit="1" customWidth="1"/>
    <col min="6" max="6" width="32.625" style="5" bestFit="1" customWidth="1"/>
    <col min="7" max="7" width="40.5" style="5" bestFit="1" customWidth="1"/>
    <col min="8" max="9" width="15.5" style="5" bestFit="1" customWidth="1"/>
    <col min="10" max="10" width="11.375" style="5" bestFit="1" customWidth="1"/>
    <col min="11" max="11" width="33.25" style="5" bestFit="1" customWidth="1"/>
    <col min="12" max="12" width="11.75" style="5" bestFit="1" customWidth="1"/>
    <col min="13" max="13" width="13.625" style="5" bestFit="1" customWidth="1"/>
    <col min="14" max="14" width="18.875" style="5" bestFit="1" customWidth="1"/>
    <col min="15" max="15" width="21.5" style="5" customWidth="1"/>
    <col min="16" max="16" width="7.5" style="5" bestFit="1" customWidth="1"/>
    <col min="17" max="17" width="9" style="5"/>
    <col min="18" max="18" width="9.625" style="5" customWidth="1"/>
    <col min="19" max="19" width="15.125" style="5" bestFit="1" customWidth="1"/>
    <col min="20" max="20" width="14.25" style="5" bestFit="1" customWidth="1"/>
    <col min="21" max="21" width="14.875" style="5" bestFit="1" customWidth="1"/>
    <col min="22" max="22" width="30.125" style="5" bestFit="1" customWidth="1"/>
    <col min="23" max="23" width="39.5" style="5" bestFit="1" customWidth="1"/>
    <col min="24" max="25" width="9" style="5"/>
    <col min="26" max="26" width="10.375" style="5" bestFit="1" customWidth="1"/>
    <col min="27" max="27" width="12" style="5" bestFit="1" customWidth="1"/>
    <col min="28" max="28" width="10.375" style="5" bestFit="1" customWidth="1"/>
    <col min="29" max="29" width="11.125" style="5" bestFit="1" customWidth="1"/>
    <col min="30" max="30" width="15.875" style="5" bestFit="1" customWidth="1"/>
    <col min="31" max="31" width="30.125" style="5" bestFit="1" customWidth="1"/>
    <col min="32" max="32" width="7.875" style="5" bestFit="1" customWidth="1"/>
    <col min="33" max="34" width="9" style="5"/>
    <col min="35" max="35" width="15.375" style="5" bestFit="1" customWidth="1"/>
    <col min="36" max="39" width="9" style="5"/>
    <col min="40" max="41" width="11" style="5" customWidth="1"/>
    <col min="42" max="42" width="26.375" style="5" customWidth="1"/>
    <col min="43" max="43" width="16.875" style="5" customWidth="1"/>
    <col min="44" max="16384" width="9" style="5"/>
  </cols>
  <sheetData>
    <row r="3" spans="2:43">
      <c r="B3" s="5" t="s">
        <v>1870</v>
      </c>
      <c r="C3" s="5" t="s">
        <v>1885</v>
      </c>
      <c r="D3" s="5" t="s">
        <v>1693</v>
      </c>
      <c r="E3" s="5" t="s">
        <v>1691</v>
      </c>
      <c r="F3" s="5" t="s">
        <v>1694</v>
      </c>
      <c r="G3" s="5" t="s">
        <v>1695</v>
      </c>
      <c r="H3" s="5" t="s">
        <v>1696</v>
      </c>
      <c r="I3" s="5" t="s">
        <v>1697</v>
      </c>
      <c r="J3" s="5" t="s">
        <v>1698</v>
      </c>
      <c r="K3" s="5" t="s">
        <v>1699</v>
      </c>
      <c r="L3" s="5" t="s">
        <v>238</v>
      </c>
      <c r="M3" s="5" t="s">
        <v>1700</v>
      </c>
      <c r="N3" s="5" t="s">
        <v>1701</v>
      </c>
      <c r="O3" s="5" t="s">
        <v>2845</v>
      </c>
      <c r="R3" s="5" t="s">
        <v>1886</v>
      </c>
      <c r="S3" s="5" t="s">
        <v>1887</v>
      </c>
      <c r="T3" s="5" t="s">
        <v>1888</v>
      </c>
      <c r="U3" s="5" t="s">
        <v>1889</v>
      </c>
      <c r="V3" s="5" t="s">
        <v>1890</v>
      </c>
      <c r="W3" s="5" t="s">
        <v>1891</v>
      </c>
      <c r="Z3" s="5" t="s">
        <v>1886</v>
      </c>
      <c r="AA3" s="5" t="s">
        <v>1887</v>
      </c>
      <c r="AB3" s="5" t="s">
        <v>1888</v>
      </c>
      <c r="AC3" s="5" t="s">
        <v>1889</v>
      </c>
      <c r="AD3" s="5" t="s">
        <v>1890</v>
      </c>
      <c r="AE3" s="5" t="s">
        <v>1891</v>
      </c>
      <c r="AI3" s="5" t="s">
        <v>3614</v>
      </c>
      <c r="AJ3" s="5" t="s">
        <v>3615</v>
      </c>
      <c r="AK3" s="5" t="s">
        <v>3616</v>
      </c>
      <c r="AN3" s="5" t="s">
        <v>3735</v>
      </c>
      <c r="AO3" s="5" t="s">
        <v>1889</v>
      </c>
      <c r="AP3" s="5" t="s">
        <v>3736</v>
      </c>
      <c r="AQ3" s="5" t="s">
        <v>3737</v>
      </c>
    </row>
    <row r="4" spans="2:43">
      <c r="B4" s="5">
        <v>109096</v>
      </c>
      <c r="C4" s="5" t="s">
        <v>1743</v>
      </c>
      <c r="D4" s="5" t="s">
        <v>1768</v>
      </c>
      <c r="E4" s="5" t="s">
        <v>1738</v>
      </c>
      <c r="F4" s="5" t="s">
        <v>3951</v>
      </c>
      <c r="G4" s="5" t="s">
        <v>3952</v>
      </c>
      <c r="H4" s="5" t="s">
        <v>1739</v>
      </c>
      <c r="I4" s="5" t="s">
        <v>1740</v>
      </c>
      <c r="J4" s="5" t="s">
        <v>1741</v>
      </c>
      <c r="K4" s="5" t="s">
        <v>1742</v>
      </c>
      <c r="L4" s="5" t="s">
        <v>1706</v>
      </c>
      <c r="M4" s="5" t="s">
        <v>1741</v>
      </c>
      <c r="N4" s="5" t="s">
        <v>1743</v>
      </c>
      <c r="O4" s="5" t="s">
        <v>1743</v>
      </c>
      <c r="R4" s="5">
        <v>1</v>
      </c>
      <c r="S4" s="5" t="s">
        <v>3709</v>
      </c>
      <c r="T4" s="5" t="s">
        <v>3710</v>
      </c>
      <c r="W4" s="5" t="s">
        <v>4259</v>
      </c>
      <c r="Z4" s="5">
        <v>497</v>
      </c>
      <c r="AA4" s="5" t="s">
        <v>2091</v>
      </c>
      <c r="AB4" s="5" t="s">
        <v>2092</v>
      </c>
      <c r="AC4" s="5">
        <v>10023</v>
      </c>
      <c r="AD4" s="5" t="s">
        <v>4009</v>
      </c>
      <c r="AE4" s="5" t="s">
        <v>4275</v>
      </c>
      <c r="AI4" s="468">
        <v>42370</v>
      </c>
      <c r="AJ4" s="5" t="s">
        <v>3617</v>
      </c>
      <c r="AK4" s="5" t="s">
        <v>3618</v>
      </c>
      <c r="AN4" s="5">
        <v>1</v>
      </c>
      <c r="AO4" s="5">
        <v>10000</v>
      </c>
      <c r="AP4" s="5" t="s">
        <v>1939</v>
      </c>
    </row>
    <row r="5" spans="2:43">
      <c r="B5" s="5">
        <v>109075</v>
      </c>
      <c r="C5" s="5" t="s">
        <v>1707</v>
      </c>
      <c r="D5" s="5" t="s">
        <v>1768</v>
      </c>
      <c r="E5" s="5" t="s">
        <v>1798</v>
      </c>
      <c r="F5" s="5" t="s">
        <v>1799</v>
      </c>
      <c r="G5" s="5" t="s">
        <v>1800</v>
      </c>
      <c r="H5" s="5" t="s">
        <v>1739</v>
      </c>
      <c r="I5" s="5" t="s">
        <v>1801</v>
      </c>
      <c r="J5" s="5" t="s">
        <v>1704</v>
      </c>
      <c r="K5" s="5" t="s">
        <v>1680</v>
      </c>
      <c r="L5" s="5" t="s">
        <v>1706</v>
      </c>
      <c r="M5" s="5" t="s">
        <v>1704</v>
      </c>
      <c r="N5" s="5" t="s">
        <v>3953</v>
      </c>
      <c r="O5" s="5" t="s">
        <v>3953</v>
      </c>
      <c r="R5" s="5">
        <v>421</v>
      </c>
      <c r="S5" s="5" t="s">
        <v>1937</v>
      </c>
      <c r="T5" s="5" t="s">
        <v>1938</v>
      </c>
      <c r="U5" s="5">
        <v>10000</v>
      </c>
      <c r="V5" s="5" t="s">
        <v>1939</v>
      </c>
      <c r="W5" s="5" t="s">
        <v>4260</v>
      </c>
      <c r="Z5" s="5">
        <v>656</v>
      </c>
      <c r="AA5" s="5" t="s">
        <v>2417</v>
      </c>
      <c r="AB5" s="5" t="s">
        <v>2418</v>
      </c>
      <c r="AC5" s="5">
        <v>10023</v>
      </c>
      <c r="AD5" s="5" t="s">
        <v>4009</v>
      </c>
      <c r="AE5" s="5" t="s">
        <v>4298</v>
      </c>
      <c r="AI5" s="468">
        <v>42371</v>
      </c>
      <c r="AJ5" s="5" t="s">
        <v>3619</v>
      </c>
      <c r="AK5" s="5" t="s">
        <v>3620</v>
      </c>
      <c r="AN5" s="5">
        <v>2</v>
      </c>
      <c r="AO5" s="5">
        <v>10001</v>
      </c>
      <c r="AP5" s="5" t="s">
        <v>3974</v>
      </c>
      <c r="AQ5" s="5" t="s">
        <v>3739</v>
      </c>
    </row>
    <row r="6" spans="2:43">
      <c r="B6" s="5">
        <v>109074</v>
      </c>
      <c r="C6" s="5" t="s">
        <v>1782</v>
      </c>
      <c r="D6" s="5" t="s">
        <v>1768</v>
      </c>
      <c r="E6" s="5" t="s">
        <v>3954</v>
      </c>
      <c r="F6" s="5" t="s">
        <v>1777</v>
      </c>
      <c r="G6" s="5" t="s">
        <v>1778</v>
      </c>
      <c r="H6" s="5" t="s">
        <v>1739</v>
      </c>
      <c r="I6" s="5" t="s">
        <v>1779</v>
      </c>
      <c r="J6" s="5" t="s">
        <v>1780</v>
      </c>
      <c r="K6" s="5" t="s">
        <v>1781</v>
      </c>
      <c r="L6" s="5" t="s">
        <v>1706</v>
      </c>
      <c r="M6" s="5" t="s">
        <v>1780</v>
      </c>
      <c r="N6" s="5" t="s">
        <v>1782</v>
      </c>
      <c r="O6" s="5" t="s">
        <v>1782</v>
      </c>
      <c r="R6" s="5">
        <v>422</v>
      </c>
      <c r="S6" s="5" t="s">
        <v>2313</v>
      </c>
      <c r="T6" s="5" t="s">
        <v>1785</v>
      </c>
      <c r="U6" s="5">
        <v>10000</v>
      </c>
      <c r="V6" s="5" t="s">
        <v>1939</v>
      </c>
      <c r="W6" s="5" t="s">
        <v>4261</v>
      </c>
      <c r="Z6" s="5">
        <v>661</v>
      </c>
      <c r="AA6" s="5" t="s">
        <v>2173</v>
      </c>
      <c r="AB6" s="5" t="s">
        <v>2174</v>
      </c>
      <c r="AC6" s="5">
        <v>10023</v>
      </c>
      <c r="AD6" s="5" t="s">
        <v>4009</v>
      </c>
      <c r="AE6" s="5" t="s">
        <v>4299</v>
      </c>
      <c r="AI6" s="468">
        <v>42372</v>
      </c>
      <c r="AJ6" s="5" t="s">
        <v>3621</v>
      </c>
      <c r="AK6" s="5" t="s">
        <v>3622</v>
      </c>
      <c r="AN6" s="5">
        <v>3</v>
      </c>
      <c r="AO6" s="5">
        <v>10002</v>
      </c>
      <c r="AP6" s="5" t="s">
        <v>3764</v>
      </c>
      <c r="AQ6" s="5" t="s">
        <v>2135</v>
      </c>
    </row>
    <row r="7" spans="2:43">
      <c r="B7" s="5">
        <v>109097</v>
      </c>
      <c r="C7" s="5" t="s">
        <v>1837</v>
      </c>
      <c r="D7" s="5" t="s">
        <v>1803</v>
      </c>
      <c r="E7" s="5" t="s">
        <v>1798</v>
      </c>
      <c r="F7" s="5" t="s">
        <v>1838</v>
      </c>
      <c r="H7" s="5" t="s">
        <v>1839</v>
      </c>
      <c r="I7" s="5" t="s">
        <v>1840</v>
      </c>
      <c r="J7" s="5" t="s">
        <v>1841</v>
      </c>
      <c r="K7" s="5" t="s">
        <v>1842</v>
      </c>
      <c r="L7" s="5" t="s">
        <v>1706</v>
      </c>
      <c r="M7" s="5" t="s">
        <v>1841</v>
      </c>
      <c r="N7" s="5" t="s">
        <v>1837</v>
      </c>
      <c r="O7" s="5" t="s">
        <v>1837</v>
      </c>
      <c r="R7" s="5">
        <v>423</v>
      </c>
      <c r="S7" s="5" t="s">
        <v>2413</v>
      </c>
      <c r="T7" s="5" t="s">
        <v>2414</v>
      </c>
      <c r="U7" s="5">
        <v>10000</v>
      </c>
      <c r="V7" s="5" t="s">
        <v>1939</v>
      </c>
      <c r="W7" s="5" t="s">
        <v>4262</v>
      </c>
      <c r="Z7" s="5">
        <v>665</v>
      </c>
      <c r="AA7" s="5" t="s">
        <v>2415</v>
      </c>
      <c r="AB7" s="5" t="s">
        <v>2416</v>
      </c>
      <c r="AC7" s="5">
        <v>20026</v>
      </c>
      <c r="AD7" s="5" t="s">
        <v>3998</v>
      </c>
      <c r="AE7" s="5" t="s">
        <v>4302</v>
      </c>
      <c r="AI7" s="468">
        <v>42373</v>
      </c>
      <c r="AJ7" s="5" t="s">
        <v>3579</v>
      </c>
      <c r="AK7" s="5" t="s">
        <v>3623</v>
      </c>
      <c r="AN7" s="5">
        <v>4</v>
      </c>
      <c r="AO7" s="5">
        <v>10003</v>
      </c>
      <c r="AP7" s="5" t="s">
        <v>3919</v>
      </c>
      <c r="AQ7" s="5" t="s">
        <v>1704</v>
      </c>
    </row>
    <row r="8" spans="2:43">
      <c r="B8" s="5">
        <v>109077</v>
      </c>
      <c r="C8" s="5" t="s">
        <v>1791</v>
      </c>
      <c r="D8" s="5" t="s">
        <v>1717</v>
      </c>
      <c r="E8" s="5" t="s">
        <v>1776</v>
      </c>
      <c r="F8" s="5" t="s">
        <v>1777</v>
      </c>
      <c r="G8" s="5" t="s">
        <v>1788</v>
      </c>
      <c r="H8" s="5" t="s">
        <v>1789</v>
      </c>
      <c r="I8" s="5" t="s">
        <v>1790</v>
      </c>
      <c r="J8" s="5" t="s">
        <v>1949</v>
      </c>
      <c r="K8" s="5" t="s">
        <v>1724</v>
      </c>
      <c r="L8" s="5" t="s">
        <v>1706</v>
      </c>
      <c r="M8" s="5" t="s">
        <v>1949</v>
      </c>
      <c r="N8" s="5" t="s">
        <v>1791</v>
      </c>
      <c r="O8" s="5" t="s">
        <v>1791</v>
      </c>
      <c r="R8" s="5">
        <v>424</v>
      </c>
      <c r="S8" s="5" t="s">
        <v>2429</v>
      </c>
      <c r="T8" s="5" t="s">
        <v>2430</v>
      </c>
      <c r="U8" s="5">
        <v>10000</v>
      </c>
      <c r="V8" s="5" t="s">
        <v>1939</v>
      </c>
      <c r="W8" s="5" t="s">
        <v>4263</v>
      </c>
      <c r="Z8" s="5">
        <v>686</v>
      </c>
      <c r="AA8" s="5" t="s">
        <v>2118</v>
      </c>
      <c r="AB8" s="5" t="s">
        <v>2119</v>
      </c>
      <c r="AC8" s="5">
        <v>40035</v>
      </c>
      <c r="AD8" s="5" t="s">
        <v>4008</v>
      </c>
      <c r="AE8" s="5" t="s">
        <v>4315</v>
      </c>
      <c r="AI8" s="468">
        <v>42374</v>
      </c>
      <c r="AJ8" s="5" t="s">
        <v>3624</v>
      </c>
      <c r="AK8" s="5" t="s">
        <v>3625</v>
      </c>
      <c r="AN8" s="5">
        <v>5</v>
      </c>
      <c r="AO8" s="5">
        <v>10004</v>
      </c>
      <c r="AP8" s="5" t="s">
        <v>3975</v>
      </c>
      <c r="AQ8" s="5" t="s">
        <v>3739</v>
      </c>
    </row>
    <row r="9" spans="2:43">
      <c r="B9" s="5">
        <v>109072</v>
      </c>
      <c r="C9" s="5" t="s">
        <v>1751</v>
      </c>
      <c r="D9" s="5" t="s">
        <v>1702</v>
      </c>
      <c r="E9" s="5" t="s">
        <v>1744</v>
      </c>
      <c r="F9" s="5" t="s">
        <v>1745</v>
      </c>
      <c r="G9" s="5" t="s">
        <v>1746</v>
      </c>
      <c r="H9" s="5" t="s">
        <v>1747</v>
      </c>
      <c r="I9" s="5" t="s">
        <v>1748</v>
      </c>
      <c r="J9" s="5" t="s">
        <v>1749</v>
      </c>
      <c r="K9" s="5" t="s">
        <v>1750</v>
      </c>
      <c r="L9" s="5" t="s">
        <v>1706</v>
      </c>
      <c r="M9" s="5" t="s">
        <v>1749</v>
      </c>
      <c r="N9" s="5" t="s">
        <v>1751</v>
      </c>
      <c r="O9" s="5" t="s">
        <v>1751</v>
      </c>
      <c r="R9" s="5">
        <v>425</v>
      </c>
      <c r="S9" s="5" t="s">
        <v>2419</v>
      </c>
      <c r="T9" s="5" t="s">
        <v>2420</v>
      </c>
      <c r="U9" s="5">
        <v>10000</v>
      </c>
      <c r="V9" s="5" t="s">
        <v>1939</v>
      </c>
      <c r="W9" s="5" t="s">
        <v>4264</v>
      </c>
      <c r="Z9" s="5">
        <v>689</v>
      </c>
      <c r="AA9" s="5" t="s">
        <v>2331</v>
      </c>
      <c r="AB9" s="5" t="s">
        <v>2332</v>
      </c>
      <c r="AC9" s="5">
        <v>40035</v>
      </c>
      <c r="AD9" s="5" t="s">
        <v>4008</v>
      </c>
      <c r="AE9" s="5" t="s">
        <v>4317</v>
      </c>
      <c r="AI9" s="468">
        <v>42375</v>
      </c>
      <c r="AJ9" s="5" t="s">
        <v>3626</v>
      </c>
      <c r="AK9" s="5" t="s">
        <v>3627</v>
      </c>
      <c r="AN9" s="5">
        <v>6</v>
      </c>
      <c r="AO9" s="5">
        <v>10005</v>
      </c>
      <c r="AP9" s="5" t="s">
        <v>3976</v>
      </c>
      <c r="AQ9" s="5" t="s">
        <v>3739</v>
      </c>
    </row>
    <row r="10" spans="2:43">
      <c r="B10" s="5">
        <v>109071</v>
      </c>
      <c r="C10" s="5" t="s">
        <v>3955</v>
      </c>
      <c r="D10" s="5" t="s">
        <v>1702</v>
      </c>
      <c r="E10" s="5" t="s">
        <v>1703</v>
      </c>
      <c r="F10" s="5" t="s">
        <v>3956</v>
      </c>
      <c r="G10" s="5" t="s">
        <v>3957</v>
      </c>
      <c r="H10" s="5" t="s">
        <v>1747</v>
      </c>
      <c r="I10" s="5" t="s">
        <v>3958</v>
      </c>
      <c r="J10" s="5" t="s">
        <v>1704</v>
      </c>
      <c r="K10" s="5" t="s">
        <v>1705</v>
      </c>
      <c r="L10" s="5" t="s">
        <v>1706</v>
      </c>
      <c r="M10" s="5" t="s">
        <v>1704</v>
      </c>
      <c r="N10" s="5" t="s">
        <v>3953</v>
      </c>
      <c r="O10" s="5" t="s">
        <v>3953</v>
      </c>
      <c r="R10" s="5">
        <v>426</v>
      </c>
      <c r="S10" s="5" t="s">
        <v>2140</v>
      </c>
      <c r="T10" s="5" t="s">
        <v>1818</v>
      </c>
      <c r="U10" s="5">
        <v>10000</v>
      </c>
      <c r="V10" s="5" t="s">
        <v>1939</v>
      </c>
      <c r="W10" s="5" t="s">
        <v>4265</v>
      </c>
      <c r="Z10" s="5">
        <v>792</v>
      </c>
      <c r="AA10" s="5" t="s">
        <v>2193</v>
      </c>
      <c r="AB10" s="5" t="s">
        <v>2194</v>
      </c>
      <c r="AC10" s="5">
        <v>10023</v>
      </c>
      <c r="AD10" s="5" t="s">
        <v>4009</v>
      </c>
      <c r="AE10" s="5" t="s">
        <v>4383</v>
      </c>
      <c r="AI10" s="468">
        <v>42376</v>
      </c>
      <c r="AJ10" s="5" t="s">
        <v>3628</v>
      </c>
      <c r="AK10" s="5" t="s">
        <v>3618</v>
      </c>
      <c r="AN10" s="5">
        <v>7</v>
      </c>
      <c r="AO10" s="5">
        <v>10006</v>
      </c>
      <c r="AP10" s="5" t="s">
        <v>1787</v>
      </c>
      <c r="AQ10" s="5" t="s">
        <v>3763</v>
      </c>
    </row>
    <row r="11" spans="2:43">
      <c r="B11" s="5">
        <v>109069</v>
      </c>
      <c r="C11" s="5" t="s">
        <v>1787</v>
      </c>
      <c r="D11" s="5" t="s">
        <v>1702</v>
      </c>
      <c r="E11" s="5" t="s">
        <v>3959</v>
      </c>
      <c r="F11" s="5" t="s">
        <v>1777</v>
      </c>
      <c r="G11" s="5" t="s">
        <v>1783</v>
      </c>
      <c r="H11" s="5" t="s">
        <v>1747</v>
      </c>
      <c r="I11" s="5" t="s">
        <v>1784</v>
      </c>
      <c r="J11" s="5" t="s">
        <v>1780</v>
      </c>
      <c r="K11" s="5" t="s">
        <v>1786</v>
      </c>
      <c r="L11" s="5" t="s">
        <v>1706</v>
      </c>
      <c r="M11" s="5" t="s">
        <v>1780</v>
      </c>
      <c r="N11" s="5" t="s">
        <v>1787</v>
      </c>
      <c r="O11" s="5" t="s">
        <v>1787</v>
      </c>
      <c r="R11" s="5">
        <v>427</v>
      </c>
      <c r="S11" s="5" t="s">
        <v>2446</v>
      </c>
      <c r="T11" s="5" t="s">
        <v>2447</v>
      </c>
      <c r="U11" s="5">
        <v>10002</v>
      </c>
      <c r="V11" s="5" t="s">
        <v>3764</v>
      </c>
      <c r="W11" s="5" t="s">
        <v>4266</v>
      </c>
      <c r="Z11" s="5">
        <v>832</v>
      </c>
      <c r="AA11" s="5" t="s">
        <v>1940</v>
      </c>
      <c r="AB11" s="5" t="s">
        <v>1941</v>
      </c>
      <c r="AC11" s="5">
        <v>20026</v>
      </c>
      <c r="AD11" s="5" t="s">
        <v>3998</v>
      </c>
      <c r="AE11" s="5" t="s">
        <v>4405</v>
      </c>
      <c r="AI11" s="468">
        <v>42377</v>
      </c>
      <c r="AJ11" s="5" t="s">
        <v>3617</v>
      </c>
      <c r="AK11" s="5" t="s">
        <v>3620</v>
      </c>
      <c r="AN11" s="5">
        <v>8</v>
      </c>
      <c r="AO11" s="5">
        <v>10011</v>
      </c>
      <c r="AP11" s="5" t="s">
        <v>3761</v>
      </c>
      <c r="AQ11" s="5" t="s">
        <v>3762</v>
      </c>
    </row>
    <row r="12" spans="2:43">
      <c r="B12" s="5">
        <v>109082</v>
      </c>
      <c r="C12" s="5" t="s">
        <v>1802</v>
      </c>
      <c r="D12" s="5" t="s">
        <v>1803</v>
      </c>
      <c r="E12" s="5" t="s">
        <v>1729</v>
      </c>
      <c r="F12" s="5" t="s">
        <v>1804</v>
      </c>
      <c r="G12" s="5" t="s">
        <v>1805</v>
      </c>
      <c r="H12" s="5" t="s">
        <v>1806</v>
      </c>
      <c r="I12" s="5" t="s">
        <v>1807</v>
      </c>
      <c r="J12" s="5" t="s">
        <v>1808</v>
      </c>
      <c r="K12" s="5" t="s">
        <v>1724</v>
      </c>
      <c r="L12" s="5" t="s">
        <v>1736</v>
      </c>
      <c r="M12" s="5" t="s">
        <v>1808</v>
      </c>
      <c r="N12" s="5" t="s">
        <v>1802</v>
      </c>
      <c r="O12" s="5" t="s">
        <v>1802</v>
      </c>
      <c r="R12" s="5">
        <v>429</v>
      </c>
      <c r="S12" s="5" t="s">
        <v>2134</v>
      </c>
      <c r="T12" s="5" t="s">
        <v>2135</v>
      </c>
      <c r="U12" s="5">
        <v>10000</v>
      </c>
      <c r="V12" s="5" t="s">
        <v>1939</v>
      </c>
      <c r="W12" s="5" t="s">
        <v>4267</v>
      </c>
      <c r="Z12" s="5">
        <v>836</v>
      </c>
      <c r="AA12" s="5" t="s">
        <v>2397</v>
      </c>
      <c r="AB12" s="5" t="s">
        <v>2398</v>
      </c>
      <c r="AC12" s="5">
        <v>20026</v>
      </c>
      <c r="AD12" s="5" t="s">
        <v>3998</v>
      </c>
      <c r="AE12" s="5" t="s">
        <v>4407</v>
      </c>
      <c r="AI12" s="468">
        <v>42378</v>
      </c>
      <c r="AJ12" s="5" t="s">
        <v>3619</v>
      </c>
      <c r="AK12" s="5" t="s">
        <v>3622</v>
      </c>
      <c r="AN12" s="5">
        <v>9</v>
      </c>
      <c r="AO12" s="5">
        <v>10012</v>
      </c>
      <c r="AP12" s="5" t="s">
        <v>1707</v>
      </c>
      <c r="AQ12" s="5" t="s">
        <v>1704</v>
      </c>
    </row>
    <row r="13" spans="2:43">
      <c r="B13" s="5">
        <v>331916</v>
      </c>
      <c r="C13" s="5" t="s">
        <v>3960</v>
      </c>
      <c r="D13" s="5" t="s">
        <v>1702</v>
      </c>
      <c r="E13" s="5" t="s">
        <v>3961</v>
      </c>
      <c r="F13" s="5" t="s">
        <v>3962</v>
      </c>
      <c r="G13" s="5" t="s">
        <v>3963</v>
      </c>
      <c r="H13" s="5" t="s">
        <v>3964</v>
      </c>
      <c r="J13" s="5" t="s">
        <v>2377</v>
      </c>
      <c r="K13" s="5" t="s">
        <v>1724</v>
      </c>
      <c r="L13" s="5" t="s">
        <v>1736</v>
      </c>
      <c r="M13" s="5" t="s">
        <v>2377</v>
      </c>
      <c r="N13" s="5" t="s">
        <v>3965</v>
      </c>
      <c r="O13" s="5" t="s">
        <v>3965</v>
      </c>
      <c r="R13" s="5">
        <v>451</v>
      </c>
      <c r="S13" s="5" t="s">
        <v>2494</v>
      </c>
      <c r="T13" s="5" t="s">
        <v>4018</v>
      </c>
      <c r="U13" s="5">
        <v>999999</v>
      </c>
      <c r="V13" s="5" t="s">
        <v>4014</v>
      </c>
      <c r="Z13" s="5">
        <v>850</v>
      </c>
      <c r="AA13" s="5" t="s">
        <v>1982</v>
      </c>
      <c r="AB13" s="5" t="s">
        <v>1983</v>
      </c>
      <c r="AC13" s="5">
        <v>20026</v>
      </c>
      <c r="AD13" s="5" t="s">
        <v>3998</v>
      </c>
      <c r="AE13" s="5" t="s">
        <v>4412</v>
      </c>
      <c r="AI13" s="468">
        <v>42379</v>
      </c>
      <c r="AJ13" s="5" t="s">
        <v>3621</v>
      </c>
      <c r="AK13" s="5" t="s">
        <v>3625</v>
      </c>
      <c r="AN13" s="5">
        <v>10</v>
      </c>
      <c r="AO13" s="5">
        <v>10013</v>
      </c>
      <c r="AP13" s="5" t="s">
        <v>1782</v>
      </c>
      <c r="AQ13" s="5" t="s">
        <v>1780</v>
      </c>
    </row>
    <row r="14" spans="2:43">
      <c r="B14" s="5">
        <v>221497</v>
      </c>
      <c r="C14" s="5" t="s">
        <v>3765</v>
      </c>
      <c r="D14" s="5" t="s">
        <v>1717</v>
      </c>
      <c r="E14" s="5" t="s">
        <v>3915</v>
      </c>
      <c r="F14" s="5" t="s">
        <v>3916</v>
      </c>
      <c r="G14" s="5" t="s">
        <v>3966</v>
      </c>
      <c r="H14" s="5" t="s">
        <v>3917</v>
      </c>
      <c r="I14" s="5" t="s">
        <v>3918</v>
      </c>
      <c r="J14" s="5" t="s">
        <v>1928</v>
      </c>
      <c r="K14" s="5" t="s">
        <v>1724</v>
      </c>
      <c r="L14" s="5" t="s">
        <v>1736</v>
      </c>
      <c r="M14" s="5" t="s">
        <v>1928</v>
      </c>
      <c r="N14" s="5" t="s">
        <v>3765</v>
      </c>
      <c r="O14" s="5" t="s">
        <v>3765</v>
      </c>
      <c r="R14" s="5">
        <v>459</v>
      </c>
      <c r="S14" s="5" t="s">
        <v>2011</v>
      </c>
      <c r="T14" s="5" t="s">
        <v>2012</v>
      </c>
      <c r="U14" s="5">
        <v>10011</v>
      </c>
      <c r="V14" s="5" t="s">
        <v>3761</v>
      </c>
      <c r="W14" s="5" t="s">
        <v>4268</v>
      </c>
      <c r="Z14" s="5">
        <v>882</v>
      </c>
      <c r="AA14" s="5" t="s">
        <v>1957</v>
      </c>
      <c r="AB14" s="5" t="s">
        <v>1958</v>
      </c>
      <c r="AC14" s="5">
        <v>40035</v>
      </c>
      <c r="AD14" s="5" t="s">
        <v>4008</v>
      </c>
      <c r="AE14" s="5" t="s">
        <v>4431</v>
      </c>
      <c r="AI14" s="468">
        <v>42380</v>
      </c>
      <c r="AJ14" s="5" t="s">
        <v>3579</v>
      </c>
      <c r="AK14" s="5" t="s">
        <v>3627</v>
      </c>
      <c r="AN14" s="5">
        <v>11</v>
      </c>
      <c r="AO14" s="5">
        <v>10014</v>
      </c>
      <c r="AP14" s="5" t="s">
        <v>1837</v>
      </c>
      <c r="AQ14" s="5" t="s">
        <v>1841</v>
      </c>
    </row>
    <row r="15" spans="2:43">
      <c r="B15" s="5">
        <v>263189</v>
      </c>
      <c r="C15" s="5" t="s">
        <v>3967</v>
      </c>
      <c r="D15" s="5" t="s">
        <v>1702</v>
      </c>
      <c r="E15" s="5" t="s">
        <v>1832</v>
      </c>
      <c r="F15" s="5" t="s">
        <v>1833</v>
      </c>
      <c r="G15" s="5" t="s">
        <v>1834</v>
      </c>
      <c r="H15" s="5" t="s">
        <v>1835</v>
      </c>
      <c r="I15" s="5" t="s">
        <v>1836</v>
      </c>
      <c r="J15" s="5" t="s">
        <v>1735</v>
      </c>
      <c r="K15" s="5" t="s">
        <v>1724</v>
      </c>
      <c r="L15" s="5" t="s">
        <v>1736</v>
      </c>
      <c r="M15" s="5" t="s">
        <v>1735</v>
      </c>
      <c r="N15" s="5" t="s">
        <v>3967</v>
      </c>
      <c r="O15" s="5" t="s">
        <v>3967</v>
      </c>
      <c r="R15" s="5">
        <v>460</v>
      </c>
      <c r="S15" s="5" t="s">
        <v>1967</v>
      </c>
      <c r="T15" s="5" t="s">
        <v>1968</v>
      </c>
      <c r="U15" s="5">
        <v>10011</v>
      </c>
      <c r="V15" s="5" t="s">
        <v>3761</v>
      </c>
      <c r="W15" s="5" t="s">
        <v>4269</v>
      </c>
      <c r="Z15" s="5">
        <v>896</v>
      </c>
      <c r="AA15" s="5" t="s">
        <v>2034</v>
      </c>
      <c r="AB15" s="5" t="s">
        <v>2035</v>
      </c>
      <c r="AC15" s="5">
        <v>40035</v>
      </c>
      <c r="AD15" s="5" t="s">
        <v>4008</v>
      </c>
      <c r="AE15" s="5" t="s">
        <v>4441</v>
      </c>
      <c r="AI15" s="468">
        <v>42381</v>
      </c>
      <c r="AJ15" s="5" t="s">
        <v>3624</v>
      </c>
      <c r="AK15" s="5" t="s">
        <v>3618</v>
      </c>
      <c r="AN15" s="5">
        <v>12</v>
      </c>
      <c r="AO15" s="5">
        <v>10015</v>
      </c>
      <c r="AP15" s="5" t="s">
        <v>3977</v>
      </c>
      <c r="AQ15" s="5" t="s">
        <v>3739</v>
      </c>
    </row>
    <row r="16" spans="2:43">
      <c r="B16" s="5">
        <v>109088</v>
      </c>
      <c r="C16" s="5" t="s">
        <v>1814</v>
      </c>
      <c r="D16" s="5" t="s">
        <v>1702</v>
      </c>
      <c r="E16" s="5" t="s">
        <v>1810</v>
      </c>
      <c r="F16" s="5" t="s">
        <v>1811</v>
      </c>
      <c r="G16" s="5" t="s">
        <v>1812</v>
      </c>
      <c r="H16" s="5" t="s">
        <v>1813</v>
      </c>
      <c r="I16" s="5" t="s">
        <v>1813</v>
      </c>
      <c r="J16" s="5" t="s">
        <v>1797</v>
      </c>
      <c r="K16" s="5" t="s">
        <v>1724</v>
      </c>
      <c r="L16" s="5" t="s">
        <v>1736</v>
      </c>
      <c r="M16" s="5" t="s">
        <v>1797</v>
      </c>
      <c r="N16" s="5" t="s">
        <v>1814</v>
      </c>
      <c r="O16" s="5" t="s">
        <v>1814</v>
      </c>
      <c r="R16" s="5">
        <v>461</v>
      </c>
      <c r="S16" s="5" t="s">
        <v>1905</v>
      </c>
      <c r="T16" s="5" t="s">
        <v>1906</v>
      </c>
      <c r="U16" s="5">
        <v>10011</v>
      </c>
      <c r="V16" s="5" t="s">
        <v>3761</v>
      </c>
      <c r="W16" s="5" t="s">
        <v>4270</v>
      </c>
      <c r="Z16" s="5">
        <v>897</v>
      </c>
      <c r="AA16" s="5" t="s">
        <v>1892</v>
      </c>
      <c r="AB16" s="5" t="s">
        <v>1893</v>
      </c>
      <c r="AC16" s="5">
        <v>40035</v>
      </c>
      <c r="AD16" s="5" t="s">
        <v>4008</v>
      </c>
      <c r="AE16" s="5" t="s">
        <v>4442</v>
      </c>
      <c r="AI16" s="468">
        <v>42382</v>
      </c>
      <c r="AJ16" s="5" t="s">
        <v>3626</v>
      </c>
      <c r="AK16" s="5" t="s">
        <v>3620</v>
      </c>
      <c r="AN16" s="5">
        <v>13</v>
      </c>
      <c r="AO16" s="5">
        <v>10016</v>
      </c>
      <c r="AP16" s="5" t="s">
        <v>3738</v>
      </c>
      <c r="AQ16" s="5" t="s">
        <v>2420</v>
      </c>
    </row>
    <row r="17" spans="2:43">
      <c r="B17" s="5">
        <v>109085</v>
      </c>
      <c r="C17" s="5" t="s">
        <v>3965</v>
      </c>
      <c r="D17" s="5" t="s">
        <v>1702</v>
      </c>
      <c r="E17" s="5" t="s">
        <v>1729</v>
      </c>
      <c r="F17" s="5" t="s">
        <v>1731</v>
      </c>
      <c r="G17" s="5" t="s">
        <v>1732</v>
      </c>
      <c r="H17" s="5" t="s">
        <v>1733</v>
      </c>
      <c r="I17" s="5" t="s">
        <v>1734</v>
      </c>
      <c r="J17" s="5" t="s">
        <v>2377</v>
      </c>
      <c r="K17" s="5" t="s">
        <v>1724</v>
      </c>
      <c r="L17" s="5" t="s">
        <v>1736</v>
      </c>
      <c r="M17" s="5" t="s">
        <v>2377</v>
      </c>
      <c r="N17" s="5" t="s">
        <v>3965</v>
      </c>
      <c r="O17" s="5" t="s">
        <v>3965</v>
      </c>
      <c r="R17" s="5">
        <v>462</v>
      </c>
      <c r="S17" s="5" t="s">
        <v>2003</v>
      </c>
      <c r="T17" s="5" t="s">
        <v>2004</v>
      </c>
      <c r="U17" s="5">
        <v>10011</v>
      </c>
      <c r="V17" s="5" t="s">
        <v>3761</v>
      </c>
      <c r="W17" s="5" t="s">
        <v>4271</v>
      </c>
      <c r="Z17" s="5">
        <v>898</v>
      </c>
      <c r="AA17" s="5" t="s">
        <v>2043</v>
      </c>
      <c r="AB17" s="5" t="s">
        <v>2044</v>
      </c>
      <c r="AC17" s="5">
        <v>40035</v>
      </c>
      <c r="AD17" s="5" t="s">
        <v>4008</v>
      </c>
      <c r="AE17" s="5" t="s">
        <v>4443</v>
      </c>
      <c r="AI17" s="468">
        <v>42383</v>
      </c>
      <c r="AJ17" s="5" t="s">
        <v>3628</v>
      </c>
      <c r="AK17" s="5" t="s">
        <v>3622</v>
      </c>
      <c r="AN17" s="5">
        <v>14</v>
      </c>
      <c r="AO17" s="5">
        <v>10017</v>
      </c>
      <c r="AP17" s="5" t="s">
        <v>3978</v>
      </c>
      <c r="AQ17" s="5" t="s">
        <v>2369</v>
      </c>
    </row>
    <row r="18" spans="2:43">
      <c r="B18" s="5">
        <v>109086</v>
      </c>
      <c r="C18" s="5" t="s">
        <v>1792</v>
      </c>
      <c r="D18" s="5" t="s">
        <v>1730</v>
      </c>
      <c r="E18" s="5" t="s">
        <v>1792</v>
      </c>
      <c r="F18" s="5" t="s">
        <v>1793</v>
      </c>
      <c r="G18" s="5" t="s">
        <v>1794</v>
      </c>
      <c r="H18" s="5" t="s">
        <v>1795</v>
      </c>
      <c r="I18" s="5" t="s">
        <v>1796</v>
      </c>
      <c r="J18" s="5" t="s">
        <v>1797</v>
      </c>
      <c r="K18" s="5" t="s">
        <v>1724</v>
      </c>
      <c r="L18" s="5" t="s">
        <v>1736</v>
      </c>
      <c r="M18" s="5" t="s">
        <v>1797</v>
      </c>
      <c r="N18" s="5" t="s">
        <v>1792</v>
      </c>
      <c r="O18" s="5" t="s">
        <v>1792</v>
      </c>
      <c r="R18" s="5">
        <v>463</v>
      </c>
      <c r="S18" s="5" t="s">
        <v>2029</v>
      </c>
      <c r="T18" s="5" t="s">
        <v>2030</v>
      </c>
      <c r="U18" s="5">
        <v>10011</v>
      </c>
      <c r="V18" s="5" t="s">
        <v>3761</v>
      </c>
      <c r="W18" s="5" t="s">
        <v>4272</v>
      </c>
      <c r="Z18" s="5">
        <v>906</v>
      </c>
      <c r="AA18" s="5" t="s">
        <v>2393</v>
      </c>
      <c r="AB18" s="5" t="s">
        <v>2394</v>
      </c>
      <c r="AC18" s="5">
        <v>40035</v>
      </c>
      <c r="AD18" s="5" t="s">
        <v>4008</v>
      </c>
      <c r="AE18" s="5" t="s">
        <v>4445</v>
      </c>
      <c r="AI18" s="468">
        <v>42384</v>
      </c>
      <c r="AJ18" s="5" t="s">
        <v>3617</v>
      </c>
      <c r="AK18" s="5" t="s">
        <v>3623</v>
      </c>
      <c r="AN18" s="5">
        <v>15</v>
      </c>
      <c r="AO18" s="5">
        <v>10018</v>
      </c>
      <c r="AP18" s="5" t="s">
        <v>1743</v>
      </c>
      <c r="AQ18" s="5" t="s">
        <v>1741</v>
      </c>
    </row>
    <row r="19" spans="2:43">
      <c r="B19" s="5">
        <v>189556</v>
      </c>
      <c r="C19" s="5" t="s">
        <v>3745</v>
      </c>
      <c r="D19" s="5" t="s">
        <v>1717</v>
      </c>
      <c r="E19" s="5" t="s">
        <v>1718</v>
      </c>
      <c r="F19" s="5" t="s">
        <v>1719</v>
      </c>
      <c r="G19" s="5" t="s">
        <v>1720</v>
      </c>
      <c r="H19" s="5" t="s">
        <v>1721</v>
      </c>
      <c r="I19" s="5" t="s">
        <v>1722</v>
      </c>
      <c r="J19" s="5" t="s">
        <v>1898</v>
      </c>
      <c r="K19" s="5" t="s">
        <v>1724</v>
      </c>
      <c r="L19" s="5" t="s">
        <v>1725</v>
      </c>
      <c r="M19" s="5" t="s">
        <v>1898</v>
      </c>
      <c r="N19" s="5" t="s">
        <v>1726</v>
      </c>
      <c r="O19" s="5" t="s">
        <v>1726</v>
      </c>
      <c r="R19" s="5">
        <v>472</v>
      </c>
      <c r="S19" s="5" t="s">
        <v>2495</v>
      </c>
      <c r="T19" s="5" t="s">
        <v>4019</v>
      </c>
      <c r="U19" s="5">
        <v>999999</v>
      </c>
      <c r="V19" s="5" t="s">
        <v>4014</v>
      </c>
      <c r="Z19" s="5">
        <v>932</v>
      </c>
      <c r="AA19" s="5" t="s">
        <v>2086</v>
      </c>
      <c r="AB19" s="5" t="s">
        <v>2087</v>
      </c>
      <c r="AC19" s="5">
        <v>10023</v>
      </c>
      <c r="AD19" s="5" t="s">
        <v>4009</v>
      </c>
      <c r="AE19" s="5" t="s">
        <v>2088</v>
      </c>
      <c r="AI19" s="468">
        <v>42385</v>
      </c>
      <c r="AJ19" s="5" t="s">
        <v>3619</v>
      </c>
      <c r="AK19" s="5" t="s">
        <v>3625</v>
      </c>
      <c r="AN19" s="5">
        <v>16</v>
      </c>
      <c r="AO19" s="5">
        <v>10021</v>
      </c>
      <c r="AP19" s="5" t="s">
        <v>1791</v>
      </c>
      <c r="AQ19" s="5" t="s">
        <v>2430</v>
      </c>
    </row>
    <row r="20" spans="2:43">
      <c r="B20" s="5">
        <v>189557</v>
      </c>
      <c r="C20" s="5" t="s">
        <v>3968</v>
      </c>
      <c r="D20" s="5" t="s">
        <v>1717</v>
      </c>
      <c r="E20" s="5" t="s">
        <v>1727</v>
      </c>
      <c r="F20" s="5" t="s">
        <v>1728</v>
      </c>
      <c r="H20" s="5" t="s">
        <v>1721</v>
      </c>
      <c r="I20" s="5" t="s">
        <v>1722</v>
      </c>
      <c r="J20" s="5" t="s">
        <v>1898</v>
      </c>
      <c r="K20" s="5" t="s">
        <v>1724</v>
      </c>
      <c r="L20" s="5" t="s">
        <v>1725</v>
      </c>
      <c r="M20" s="5" t="s">
        <v>1898</v>
      </c>
      <c r="N20" s="5" t="s">
        <v>1726</v>
      </c>
      <c r="O20" s="5" t="s">
        <v>1726</v>
      </c>
      <c r="R20" s="5">
        <v>481</v>
      </c>
      <c r="S20" s="5" t="s">
        <v>2277</v>
      </c>
      <c r="T20" s="5" t="s">
        <v>2278</v>
      </c>
      <c r="U20" s="5">
        <v>10000</v>
      </c>
      <c r="V20" s="5" t="s">
        <v>1939</v>
      </c>
      <c r="W20" s="5" t="s">
        <v>4273</v>
      </c>
      <c r="Z20" s="5">
        <v>938</v>
      </c>
      <c r="AA20" s="5" t="s">
        <v>2431</v>
      </c>
      <c r="AB20" s="5" t="s">
        <v>2432</v>
      </c>
      <c r="AC20" s="5">
        <v>40035</v>
      </c>
      <c r="AD20" s="5" t="s">
        <v>4008</v>
      </c>
      <c r="AE20" s="5" t="s">
        <v>2433</v>
      </c>
      <c r="AI20" s="468">
        <v>42386</v>
      </c>
      <c r="AJ20" s="5" t="s">
        <v>3621</v>
      </c>
      <c r="AK20" s="5" t="s">
        <v>3627</v>
      </c>
      <c r="AN20" s="5">
        <v>17</v>
      </c>
      <c r="AO20" s="5">
        <v>10022</v>
      </c>
      <c r="AP20" s="5" t="s">
        <v>1751</v>
      </c>
      <c r="AQ20" s="5" t="s">
        <v>1749</v>
      </c>
    </row>
    <row r="21" spans="2:43">
      <c r="B21" s="5">
        <v>109093</v>
      </c>
      <c r="C21" s="5" t="s">
        <v>3969</v>
      </c>
      <c r="D21" s="5" t="s">
        <v>3970</v>
      </c>
      <c r="E21" s="5" t="s">
        <v>1760</v>
      </c>
      <c r="F21" s="5" t="s">
        <v>1761</v>
      </c>
      <c r="G21" s="5" t="s">
        <v>1762</v>
      </c>
      <c r="H21" s="5" t="s">
        <v>1763</v>
      </c>
      <c r="J21" s="5" t="s">
        <v>1764</v>
      </c>
      <c r="K21" s="5" t="s">
        <v>1765</v>
      </c>
      <c r="L21" s="5" t="s">
        <v>1766</v>
      </c>
      <c r="M21" s="5" t="s">
        <v>1764</v>
      </c>
      <c r="N21" s="5" t="s">
        <v>1767</v>
      </c>
      <c r="O21" s="5" t="s">
        <v>1767</v>
      </c>
      <c r="R21" s="5">
        <v>487</v>
      </c>
      <c r="S21" s="5" t="s">
        <v>2601</v>
      </c>
      <c r="T21" s="5" t="s">
        <v>4020</v>
      </c>
      <c r="U21" s="5">
        <v>999999</v>
      </c>
      <c r="V21" s="5" t="s">
        <v>4014</v>
      </c>
      <c r="Z21" s="5">
        <v>1062</v>
      </c>
      <c r="AA21" s="5" t="s">
        <v>2300</v>
      </c>
      <c r="AB21" s="5" t="s">
        <v>2301</v>
      </c>
      <c r="AC21" s="5">
        <v>10023</v>
      </c>
      <c r="AD21" s="5" t="s">
        <v>4009</v>
      </c>
      <c r="AE21" s="5" t="s">
        <v>2302</v>
      </c>
      <c r="AI21" s="468">
        <v>42387</v>
      </c>
      <c r="AJ21" s="5" t="s">
        <v>3579</v>
      </c>
      <c r="AK21" s="5" t="s">
        <v>3618</v>
      </c>
      <c r="AN21" s="5">
        <v>18</v>
      </c>
      <c r="AO21" s="5" t="s">
        <v>3759</v>
      </c>
      <c r="AP21" s="5" t="s">
        <v>3760</v>
      </c>
      <c r="AQ21" s="5" t="s">
        <v>2361</v>
      </c>
    </row>
    <row r="22" spans="2:43">
      <c r="B22" s="5">
        <v>109083</v>
      </c>
      <c r="C22" s="5" t="s">
        <v>3971</v>
      </c>
      <c r="D22" s="5" t="s">
        <v>1803</v>
      </c>
      <c r="E22" s="5" t="s">
        <v>1829</v>
      </c>
      <c r="F22" s="5" t="s">
        <v>1830</v>
      </c>
      <c r="G22" s="5" t="s">
        <v>1805</v>
      </c>
      <c r="H22" s="5" t="s">
        <v>1824</v>
      </c>
      <c r="I22" s="5" t="s">
        <v>1817</v>
      </c>
      <c r="J22" s="5" t="s">
        <v>1818</v>
      </c>
      <c r="K22" s="5" t="s">
        <v>1831</v>
      </c>
      <c r="L22" s="5" t="s">
        <v>1715</v>
      </c>
      <c r="M22" s="5" t="s">
        <v>1818</v>
      </c>
      <c r="N22" s="5" t="s">
        <v>1828</v>
      </c>
      <c r="O22" s="5" t="s">
        <v>1828</v>
      </c>
      <c r="R22" s="5">
        <v>493</v>
      </c>
      <c r="S22" s="5" t="s">
        <v>2600</v>
      </c>
      <c r="T22" s="5" t="s">
        <v>4021</v>
      </c>
      <c r="U22" s="5">
        <v>999999</v>
      </c>
      <c r="V22" s="5" t="s">
        <v>4014</v>
      </c>
      <c r="Z22" s="5">
        <v>1067</v>
      </c>
      <c r="AA22" s="5" t="s">
        <v>1952</v>
      </c>
      <c r="AB22" s="5" t="s">
        <v>1953</v>
      </c>
      <c r="AC22" s="5">
        <v>10023</v>
      </c>
      <c r="AD22" s="5" t="s">
        <v>4009</v>
      </c>
      <c r="AE22" s="5" t="s">
        <v>1954</v>
      </c>
      <c r="AI22" s="468">
        <v>42388</v>
      </c>
      <c r="AJ22" s="5" t="s">
        <v>3624</v>
      </c>
      <c r="AK22" s="5" t="s">
        <v>3620</v>
      </c>
      <c r="AN22" s="5">
        <v>19</v>
      </c>
      <c r="AO22" s="5">
        <v>10100</v>
      </c>
      <c r="AP22" s="5" t="s">
        <v>3740</v>
      </c>
      <c r="AQ22" s="5" t="s">
        <v>1993</v>
      </c>
    </row>
    <row r="23" spans="2:43">
      <c r="B23" s="5">
        <v>109080</v>
      </c>
      <c r="C23" s="5" t="s">
        <v>3972</v>
      </c>
      <c r="D23" s="5" t="s">
        <v>1768</v>
      </c>
      <c r="E23" s="5" t="s">
        <v>1769</v>
      </c>
      <c r="F23" s="5" t="s">
        <v>1770</v>
      </c>
      <c r="G23" s="5" t="s">
        <v>1826</v>
      </c>
      <c r="H23" s="5" t="s">
        <v>1772</v>
      </c>
      <c r="I23" s="5" t="s">
        <v>1773</v>
      </c>
      <c r="J23" s="5" t="s">
        <v>1818</v>
      </c>
      <c r="K23" s="5" t="s">
        <v>1827</v>
      </c>
      <c r="L23" s="5" t="s">
        <v>1715</v>
      </c>
      <c r="M23" s="5" t="s">
        <v>1818</v>
      </c>
      <c r="N23" s="5" t="s">
        <v>3972</v>
      </c>
      <c r="O23" s="5" t="s">
        <v>3972</v>
      </c>
      <c r="R23" s="5">
        <v>494</v>
      </c>
      <c r="S23" s="5" t="s">
        <v>2368</v>
      </c>
      <c r="T23" s="5" t="s">
        <v>2369</v>
      </c>
      <c r="U23" s="5">
        <v>10017</v>
      </c>
      <c r="V23" s="5" t="s">
        <v>3978</v>
      </c>
      <c r="W23" s="5" t="s">
        <v>4274</v>
      </c>
      <c r="Z23" s="5">
        <v>1118</v>
      </c>
      <c r="AA23" s="5" t="s">
        <v>4225</v>
      </c>
      <c r="AB23" s="5" t="s">
        <v>4226</v>
      </c>
      <c r="AC23" s="5">
        <v>20026</v>
      </c>
      <c r="AD23" s="5" t="s">
        <v>3998</v>
      </c>
      <c r="AE23" s="5" t="s">
        <v>4569</v>
      </c>
      <c r="AI23" s="468">
        <v>42389</v>
      </c>
      <c r="AJ23" s="5" t="s">
        <v>3626</v>
      </c>
      <c r="AK23" s="5" t="s">
        <v>3622</v>
      </c>
      <c r="AN23" s="5">
        <v>20</v>
      </c>
      <c r="AO23" s="5">
        <v>10101</v>
      </c>
      <c r="AP23" s="5" t="s">
        <v>3979</v>
      </c>
      <c r="AQ23" s="5" t="s">
        <v>3739</v>
      </c>
    </row>
    <row r="24" spans="2:43">
      <c r="B24" s="5">
        <v>109081</v>
      </c>
      <c r="C24" s="5" t="s">
        <v>3973</v>
      </c>
      <c r="D24" s="5" t="s">
        <v>1768</v>
      </c>
      <c r="E24" s="5" t="s">
        <v>1769</v>
      </c>
      <c r="F24" s="5" t="s">
        <v>1770</v>
      </c>
      <c r="G24" s="5" t="s">
        <v>1771</v>
      </c>
      <c r="H24" s="5" t="s">
        <v>1772</v>
      </c>
      <c r="I24" s="5" t="s">
        <v>1773</v>
      </c>
      <c r="J24" s="5" t="s">
        <v>1818</v>
      </c>
      <c r="K24" s="5" t="s">
        <v>1775</v>
      </c>
      <c r="L24" s="5" t="s">
        <v>1715</v>
      </c>
      <c r="M24" s="5" t="s">
        <v>1818</v>
      </c>
      <c r="N24" s="5" t="s">
        <v>3973</v>
      </c>
      <c r="O24" s="5" t="s">
        <v>3973</v>
      </c>
      <c r="R24" s="5">
        <v>497</v>
      </c>
      <c r="S24" s="5" t="s">
        <v>2091</v>
      </c>
      <c r="T24" s="5" t="s">
        <v>2092</v>
      </c>
      <c r="U24" s="5">
        <v>10023</v>
      </c>
      <c r="V24" s="5" t="s">
        <v>4009</v>
      </c>
      <c r="W24" s="5" t="s">
        <v>4275</v>
      </c>
      <c r="Z24" s="5">
        <v>425</v>
      </c>
      <c r="AA24" s="5" t="s">
        <v>2419</v>
      </c>
      <c r="AB24" s="5" t="s">
        <v>2420</v>
      </c>
      <c r="AC24" s="5">
        <v>10000</v>
      </c>
      <c r="AD24" s="5" t="s">
        <v>1939</v>
      </c>
      <c r="AE24" s="5" t="s">
        <v>2421</v>
      </c>
      <c r="AI24" s="468">
        <v>42390</v>
      </c>
      <c r="AJ24" s="5" t="s">
        <v>3628</v>
      </c>
      <c r="AK24" s="5" t="s">
        <v>3623</v>
      </c>
      <c r="AN24" s="5">
        <v>21</v>
      </c>
      <c r="AO24" s="5">
        <v>10102</v>
      </c>
      <c r="AP24" s="5" t="s">
        <v>3758</v>
      </c>
      <c r="AQ24" s="5" t="s">
        <v>2387</v>
      </c>
    </row>
    <row r="25" spans="2:43">
      <c r="B25" s="5">
        <v>109084</v>
      </c>
      <c r="C25" s="5" t="s">
        <v>1821</v>
      </c>
      <c r="D25" s="5" t="s">
        <v>1803</v>
      </c>
      <c r="E25" s="5" t="s">
        <v>1822</v>
      </c>
      <c r="F25" s="5" t="s">
        <v>1823</v>
      </c>
      <c r="H25" s="5" t="s">
        <v>1824</v>
      </c>
      <c r="I25" s="5" t="s">
        <v>1817</v>
      </c>
      <c r="J25" s="5" t="s">
        <v>1818</v>
      </c>
      <c r="K25" s="5" t="s">
        <v>1825</v>
      </c>
      <c r="L25" s="5" t="s">
        <v>1715</v>
      </c>
      <c r="M25" s="5" t="s">
        <v>1818</v>
      </c>
      <c r="N25" s="5" t="s">
        <v>1821</v>
      </c>
      <c r="O25" s="5" t="s">
        <v>1821</v>
      </c>
      <c r="R25" s="5">
        <v>509</v>
      </c>
      <c r="S25" s="5" t="s">
        <v>2360</v>
      </c>
      <c r="T25" s="5" t="s">
        <v>2361</v>
      </c>
      <c r="U25" s="5" t="s">
        <v>3759</v>
      </c>
      <c r="V25" s="5" t="s">
        <v>3760</v>
      </c>
      <c r="W25" s="5" t="s">
        <v>4276</v>
      </c>
      <c r="Z25" s="5">
        <v>664</v>
      </c>
      <c r="AA25" s="5" t="s">
        <v>2039</v>
      </c>
      <c r="AB25" s="5" t="s">
        <v>2040</v>
      </c>
      <c r="AC25" s="5">
        <v>10021</v>
      </c>
      <c r="AD25" s="5" t="s">
        <v>1791</v>
      </c>
      <c r="AE25" s="5" t="s">
        <v>2041</v>
      </c>
      <c r="AI25" s="468">
        <v>42391</v>
      </c>
      <c r="AJ25" s="5" t="s">
        <v>3617</v>
      </c>
      <c r="AK25" s="5" t="s">
        <v>3625</v>
      </c>
      <c r="AN25" s="5">
        <v>22</v>
      </c>
      <c r="AO25" s="5" t="s">
        <v>3756</v>
      </c>
      <c r="AP25" s="5" t="s">
        <v>3757</v>
      </c>
      <c r="AQ25" s="5" t="s">
        <v>2284</v>
      </c>
    </row>
    <row r="26" spans="2:43">
      <c r="B26" s="5">
        <v>109073</v>
      </c>
      <c r="C26" s="5" t="s">
        <v>1758</v>
      </c>
      <c r="D26" s="5" t="s">
        <v>1702</v>
      </c>
      <c r="E26" s="5" t="s">
        <v>1752</v>
      </c>
      <c r="F26" s="5" t="s">
        <v>1753</v>
      </c>
      <c r="G26" s="5" t="s">
        <v>1754</v>
      </c>
      <c r="H26" s="5" t="s">
        <v>1711</v>
      </c>
      <c r="I26" s="5" t="s">
        <v>1755</v>
      </c>
      <c r="J26" s="5" t="s">
        <v>1756</v>
      </c>
      <c r="K26" s="5" t="s">
        <v>1757</v>
      </c>
      <c r="L26" s="5" t="s">
        <v>1715</v>
      </c>
      <c r="M26" s="5" t="s">
        <v>1756</v>
      </c>
      <c r="N26" s="5" t="s">
        <v>1758</v>
      </c>
      <c r="O26" s="5" t="s">
        <v>1758</v>
      </c>
      <c r="R26" s="5">
        <v>520</v>
      </c>
      <c r="S26" s="5" t="s">
        <v>2599</v>
      </c>
      <c r="T26" s="5" t="s">
        <v>4022</v>
      </c>
      <c r="U26" s="5">
        <v>999999</v>
      </c>
      <c r="V26" s="5" t="s">
        <v>4014</v>
      </c>
      <c r="AI26" s="468">
        <v>42392</v>
      </c>
      <c r="AJ26" s="5" t="s">
        <v>3619</v>
      </c>
      <c r="AK26" s="5" t="s">
        <v>3627</v>
      </c>
      <c r="AN26" s="5">
        <v>23</v>
      </c>
      <c r="AO26" s="5">
        <v>10104</v>
      </c>
      <c r="AP26" s="5" t="s">
        <v>3980</v>
      </c>
      <c r="AQ26" s="5" t="s">
        <v>2357</v>
      </c>
    </row>
    <row r="27" spans="2:43">
      <c r="B27" s="5">
        <v>109098</v>
      </c>
      <c r="C27" s="5" t="s">
        <v>1820</v>
      </c>
      <c r="D27" s="5" t="s">
        <v>1702</v>
      </c>
      <c r="E27" s="5" t="s">
        <v>1769</v>
      </c>
      <c r="F27" s="5" t="s">
        <v>1815</v>
      </c>
      <c r="G27" s="5" t="s">
        <v>1816</v>
      </c>
      <c r="H27" s="5" t="s">
        <v>1711</v>
      </c>
      <c r="I27" s="5" t="s">
        <v>1817</v>
      </c>
      <c r="J27" s="5" t="s">
        <v>1818</v>
      </c>
      <c r="K27" s="5" t="s">
        <v>1819</v>
      </c>
      <c r="L27" s="5" t="s">
        <v>1715</v>
      </c>
      <c r="M27" s="5" t="s">
        <v>1818</v>
      </c>
      <c r="N27" s="5" t="s">
        <v>1820</v>
      </c>
      <c r="O27" s="5" t="s">
        <v>1820</v>
      </c>
      <c r="R27" s="5">
        <v>522</v>
      </c>
      <c r="S27" s="5" t="s">
        <v>2606</v>
      </c>
      <c r="T27" s="5" t="s">
        <v>2607</v>
      </c>
      <c r="U27" s="5">
        <v>10011</v>
      </c>
      <c r="V27" s="5" t="s">
        <v>3761</v>
      </c>
      <c r="W27" s="5" t="s">
        <v>4277</v>
      </c>
      <c r="AI27" s="468">
        <v>42393</v>
      </c>
      <c r="AJ27" s="5" t="s">
        <v>3621</v>
      </c>
      <c r="AK27" s="5" t="s">
        <v>3618</v>
      </c>
      <c r="AN27" s="5">
        <v>24</v>
      </c>
      <c r="AO27" s="5">
        <v>10105</v>
      </c>
      <c r="AP27" s="5" t="s">
        <v>3755</v>
      </c>
      <c r="AQ27" s="5" t="s">
        <v>2002</v>
      </c>
    </row>
    <row r="28" spans="2:43">
      <c r="B28" s="5">
        <v>109070</v>
      </c>
      <c r="C28" s="5" t="s">
        <v>1716</v>
      </c>
      <c r="D28" s="5" t="s">
        <v>1702</v>
      </c>
      <c r="E28" s="5" t="s">
        <v>1708</v>
      </c>
      <c r="F28" s="5" t="s">
        <v>1709</v>
      </c>
      <c r="G28" s="5" t="s">
        <v>1710</v>
      </c>
      <c r="H28" s="5" t="s">
        <v>1711</v>
      </c>
      <c r="I28" s="5" t="s">
        <v>1712</v>
      </c>
      <c r="J28" s="5" t="s">
        <v>1818</v>
      </c>
      <c r="K28" s="5" t="s">
        <v>1714</v>
      </c>
      <c r="L28" s="5" t="s">
        <v>1715</v>
      </c>
      <c r="M28" s="5" t="s">
        <v>1818</v>
      </c>
      <c r="N28" s="5" t="s">
        <v>1716</v>
      </c>
      <c r="O28" s="5" t="s">
        <v>1716</v>
      </c>
      <c r="R28" s="5">
        <v>524</v>
      </c>
      <c r="S28" s="5" t="s">
        <v>1985</v>
      </c>
      <c r="T28" s="5" t="s">
        <v>1986</v>
      </c>
      <c r="U28" s="5">
        <v>10111</v>
      </c>
      <c r="V28" s="5" t="s">
        <v>3984</v>
      </c>
      <c r="W28" s="5" t="s">
        <v>4278</v>
      </c>
      <c r="AI28" s="468">
        <v>42394</v>
      </c>
      <c r="AJ28" s="5" t="s">
        <v>3579</v>
      </c>
      <c r="AK28" s="5" t="s">
        <v>3620</v>
      </c>
      <c r="AN28" s="5">
        <v>25</v>
      </c>
      <c r="AO28" s="5">
        <v>10106</v>
      </c>
      <c r="AP28" s="5" t="s">
        <v>3754</v>
      </c>
      <c r="AQ28" s="5" t="s">
        <v>2090</v>
      </c>
    </row>
    <row r="29" spans="2:43">
      <c r="R29" s="5">
        <v>525</v>
      </c>
      <c r="S29" s="5" t="s">
        <v>2283</v>
      </c>
      <c r="T29" s="5" t="s">
        <v>2284</v>
      </c>
      <c r="U29" s="5" t="s">
        <v>4015</v>
      </c>
      <c r="V29" s="5" t="s">
        <v>4016</v>
      </c>
      <c r="W29" s="5" t="s">
        <v>4279</v>
      </c>
      <c r="AI29" s="468">
        <v>42395</v>
      </c>
      <c r="AJ29" s="5" t="s">
        <v>3624</v>
      </c>
      <c r="AK29" s="5" t="s">
        <v>3622</v>
      </c>
      <c r="AN29" s="5">
        <v>26</v>
      </c>
      <c r="AO29" s="5">
        <v>10107</v>
      </c>
      <c r="AP29" s="5" t="s">
        <v>3753</v>
      </c>
      <c r="AQ29" s="5" t="s">
        <v>2078</v>
      </c>
    </row>
    <row r="30" spans="2:43">
      <c r="R30" s="5">
        <v>528</v>
      </c>
      <c r="S30" s="5" t="s">
        <v>2461</v>
      </c>
      <c r="T30" s="5" t="s">
        <v>2462</v>
      </c>
      <c r="U30" s="5">
        <v>10104</v>
      </c>
      <c r="V30" s="5" t="s">
        <v>3980</v>
      </c>
      <c r="W30" s="5" t="s">
        <v>4280</v>
      </c>
      <c r="AI30" s="468">
        <v>42396</v>
      </c>
      <c r="AJ30" s="5" t="s">
        <v>3626</v>
      </c>
      <c r="AK30" s="5" t="s">
        <v>3623</v>
      </c>
      <c r="AN30" s="5">
        <v>27</v>
      </c>
      <c r="AO30" s="5">
        <v>10108</v>
      </c>
      <c r="AP30" s="5" t="s">
        <v>3981</v>
      </c>
      <c r="AQ30" s="5" t="s">
        <v>1970</v>
      </c>
    </row>
    <row r="31" spans="2:43">
      <c r="R31" s="5">
        <v>529</v>
      </c>
      <c r="S31" s="5" t="s">
        <v>2456</v>
      </c>
      <c r="T31" s="5" t="s">
        <v>2457</v>
      </c>
      <c r="U31" s="5">
        <v>10104</v>
      </c>
      <c r="V31" s="5" t="s">
        <v>3980</v>
      </c>
      <c r="W31" s="5" t="s">
        <v>4281</v>
      </c>
      <c r="AI31" s="468">
        <v>42397</v>
      </c>
      <c r="AJ31" s="5" t="s">
        <v>3628</v>
      </c>
      <c r="AK31" s="5" t="s">
        <v>3625</v>
      </c>
      <c r="AN31" s="5">
        <v>28</v>
      </c>
      <c r="AO31" s="5">
        <v>10109</v>
      </c>
      <c r="AP31" s="5" t="s">
        <v>3982</v>
      </c>
      <c r="AQ31" s="5" t="s">
        <v>2340</v>
      </c>
    </row>
    <row r="32" spans="2:43">
      <c r="R32" s="5">
        <v>534</v>
      </c>
      <c r="S32" s="5" t="s">
        <v>2001</v>
      </c>
      <c r="T32" s="5" t="s">
        <v>2002</v>
      </c>
      <c r="U32" s="5">
        <v>10105</v>
      </c>
      <c r="V32" s="5" t="s">
        <v>3755</v>
      </c>
      <c r="W32" s="5" t="s">
        <v>4282</v>
      </c>
      <c r="AI32" s="468">
        <v>42398</v>
      </c>
      <c r="AJ32" s="5" t="s">
        <v>3617</v>
      </c>
      <c r="AK32" s="5" t="s">
        <v>3627</v>
      </c>
      <c r="AN32" s="5">
        <v>29</v>
      </c>
      <c r="AO32" s="5">
        <v>10110</v>
      </c>
      <c r="AP32" s="5" t="s">
        <v>3983</v>
      </c>
      <c r="AQ32" s="5" t="s">
        <v>2071</v>
      </c>
    </row>
    <row r="33" spans="2:43">
      <c r="R33" s="5">
        <v>563</v>
      </c>
      <c r="S33" s="5" t="s">
        <v>2484</v>
      </c>
      <c r="T33" s="5" t="s">
        <v>4023</v>
      </c>
      <c r="U33" s="5">
        <v>999999</v>
      </c>
      <c r="V33" s="5" t="s">
        <v>4014</v>
      </c>
      <c r="AI33" s="468">
        <v>42399</v>
      </c>
      <c r="AJ33" s="5" t="s">
        <v>3619</v>
      </c>
      <c r="AK33" s="5" t="s">
        <v>3618</v>
      </c>
      <c r="AN33" s="5">
        <v>30</v>
      </c>
      <c r="AO33" s="5">
        <v>10111</v>
      </c>
      <c r="AP33" s="5" t="s">
        <v>3984</v>
      </c>
      <c r="AQ33" s="5" t="s">
        <v>1924</v>
      </c>
    </row>
    <row r="34" spans="2:43">
      <c r="B34" s="5" t="s">
        <v>1881</v>
      </c>
      <c r="L34" s="5" t="s">
        <v>1850</v>
      </c>
      <c r="R34" s="5">
        <v>568</v>
      </c>
      <c r="S34" s="5" t="s">
        <v>1923</v>
      </c>
      <c r="T34" s="5" t="s">
        <v>1924</v>
      </c>
      <c r="U34" s="5">
        <v>10111</v>
      </c>
      <c r="V34" s="5" t="s">
        <v>3984</v>
      </c>
      <c r="W34" s="5" t="s">
        <v>4283</v>
      </c>
      <c r="AI34" s="468">
        <v>42400</v>
      </c>
      <c r="AJ34" s="5" t="s">
        <v>3621</v>
      </c>
      <c r="AK34" s="5" t="s">
        <v>3620</v>
      </c>
      <c r="AN34" s="5">
        <v>31</v>
      </c>
      <c r="AO34" s="5">
        <v>20001</v>
      </c>
      <c r="AP34" s="5" t="s">
        <v>3985</v>
      </c>
      <c r="AQ34" s="5" t="s">
        <v>3739</v>
      </c>
    </row>
    <row r="35" spans="2:43">
      <c r="B35" s="5" t="s">
        <v>1880</v>
      </c>
      <c r="C35" s="5" t="s">
        <v>1844</v>
      </c>
      <c r="D35" s="5" t="s">
        <v>1843</v>
      </c>
      <c r="I35" s="5" t="s">
        <v>1884</v>
      </c>
      <c r="L35" s="5" t="s">
        <v>1870</v>
      </c>
      <c r="M35" s="5" t="s">
        <v>2622</v>
      </c>
      <c r="R35" s="5">
        <v>579</v>
      </c>
      <c r="S35" s="5" t="s">
        <v>2033</v>
      </c>
      <c r="T35" s="5" t="s">
        <v>1841</v>
      </c>
      <c r="U35" s="5">
        <v>10014</v>
      </c>
      <c r="V35" s="5" t="s">
        <v>1837</v>
      </c>
      <c r="W35" s="5" t="s">
        <v>4284</v>
      </c>
      <c r="AI35" s="468">
        <v>42401</v>
      </c>
      <c r="AJ35" s="5" t="s">
        <v>3579</v>
      </c>
      <c r="AK35" s="5" t="s">
        <v>3622</v>
      </c>
      <c r="AN35" s="5">
        <v>32</v>
      </c>
      <c r="AO35" s="5">
        <v>20002</v>
      </c>
      <c r="AP35" s="5" t="s">
        <v>1716</v>
      </c>
      <c r="AQ35" s="5" t="s">
        <v>1713</v>
      </c>
    </row>
    <row r="36" spans="2:43">
      <c r="B36" s="5">
        <v>100</v>
      </c>
      <c r="C36" s="5" t="s">
        <v>1873</v>
      </c>
      <c r="D36" s="5">
        <v>100</v>
      </c>
      <c r="I36" s="5" t="s">
        <v>1846</v>
      </c>
      <c r="J36" s="5" t="s">
        <v>1882</v>
      </c>
      <c r="L36" s="5">
        <v>210031</v>
      </c>
      <c r="M36" s="5" t="s">
        <v>2619</v>
      </c>
      <c r="R36" s="5">
        <v>591</v>
      </c>
      <c r="S36" s="5" t="s">
        <v>1965</v>
      </c>
      <c r="T36" s="5" t="s">
        <v>1966</v>
      </c>
      <c r="U36" s="5">
        <v>20018</v>
      </c>
      <c r="V36" s="5" t="s">
        <v>1820</v>
      </c>
      <c r="W36" s="5" t="s">
        <v>4285</v>
      </c>
      <c r="AI36" s="468">
        <v>42402</v>
      </c>
      <c r="AJ36" s="5" t="s">
        <v>3624</v>
      </c>
      <c r="AK36" s="5" t="s">
        <v>3623</v>
      </c>
      <c r="AN36" s="5">
        <v>33</v>
      </c>
      <c r="AO36" s="5">
        <v>20011</v>
      </c>
      <c r="AP36" s="5" t="s">
        <v>3986</v>
      </c>
      <c r="AQ36" s="5" t="s">
        <v>3739</v>
      </c>
    </row>
    <row r="37" spans="2:43">
      <c r="B37" s="5">
        <v>101</v>
      </c>
      <c r="C37" s="5" t="s">
        <v>1874</v>
      </c>
      <c r="D37" s="5">
        <v>101</v>
      </c>
      <c r="I37" s="5">
        <v>1</v>
      </c>
      <c r="J37" s="5" t="s">
        <v>1849</v>
      </c>
      <c r="L37" s="5">
        <v>109108</v>
      </c>
      <c r="M37" s="5" t="s">
        <v>2620</v>
      </c>
      <c r="R37" s="5">
        <v>596</v>
      </c>
      <c r="S37" s="5" t="s">
        <v>2322</v>
      </c>
      <c r="T37" s="5" t="s">
        <v>1774</v>
      </c>
      <c r="U37" s="5">
        <v>20013</v>
      </c>
      <c r="V37" s="5" t="s">
        <v>3972</v>
      </c>
      <c r="W37" s="5" t="s">
        <v>4286</v>
      </c>
      <c r="AI37" s="468">
        <v>42403</v>
      </c>
      <c r="AJ37" s="5" t="s">
        <v>3626</v>
      </c>
      <c r="AK37" s="5" t="s">
        <v>3625</v>
      </c>
      <c r="AN37" s="5">
        <v>34</v>
      </c>
      <c r="AO37" s="5">
        <v>20012</v>
      </c>
      <c r="AP37" s="5" t="s">
        <v>3987</v>
      </c>
      <c r="AQ37" s="5" t="s">
        <v>3739</v>
      </c>
    </row>
    <row r="38" spans="2:43">
      <c r="B38" s="5">
        <v>102</v>
      </c>
      <c r="C38" s="5" t="s">
        <v>1875</v>
      </c>
      <c r="D38" s="5">
        <v>102</v>
      </c>
      <c r="I38" s="5">
        <v>2</v>
      </c>
      <c r="J38" s="5" t="s">
        <v>1883</v>
      </c>
      <c r="L38" s="5">
        <v>109107</v>
      </c>
      <c r="M38" s="5" t="s">
        <v>2621</v>
      </c>
      <c r="R38" s="5">
        <v>619</v>
      </c>
      <c r="S38" s="5" t="s">
        <v>2019</v>
      </c>
      <c r="T38" s="5" t="s">
        <v>4024</v>
      </c>
      <c r="U38" s="5">
        <v>999999</v>
      </c>
      <c r="V38" s="5" t="s">
        <v>4014</v>
      </c>
      <c r="AI38" s="468">
        <v>42404</v>
      </c>
      <c r="AJ38" s="5" t="s">
        <v>3628</v>
      </c>
      <c r="AK38" s="5" t="s">
        <v>3627</v>
      </c>
      <c r="AN38" s="5">
        <v>35</v>
      </c>
      <c r="AO38" s="5">
        <v>20013</v>
      </c>
      <c r="AP38" s="5" t="s">
        <v>3972</v>
      </c>
      <c r="AQ38" s="5" t="s">
        <v>1818</v>
      </c>
    </row>
    <row r="39" spans="2:43">
      <c r="B39" s="5">
        <v>150</v>
      </c>
      <c r="C39" s="5" t="s">
        <v>3865</v>
      </c>
      <c r="D39" s="5">
        <v>150</v>
      </c>
      <c r="L39" s="5">
        <v>109106</v>
      </c>
      <c r="M39" s="5" t="s">
        <v>1803</v>
      </c>
      <c r="R39" s="5">
        <v>632</v>
      </c>
      <c r="S39" s="5" t="s">
        <v>1894</v>
      </c>
      <c r="T39" s="5" t="s">
        <v>3869</v>
      </c>
      <c r="U39" s="5" t="s">
        <v>3756</v>
      </c>
      <c r="V39" s="5" t="s">
        <v>3757</v>
      </c>
      <c r="W39" s="5" t="s">
        <v>4287</v>
      </c>
      <c r="AI39" s="468">
        <v>42405</v>
      </c>
      <c r="AJ39" s="5" t="s">
        <v>3617</v>
      </c>
      <c r="AK39" s="5" t="s">
        <v>3618</v>
      </c>
      <c r="AN39" s="5">
        <v>36</v>
      </c>
      <c r="AO39" s="5">
        <v>20021</v>
      </c>
      <c r="AP39" s="5" t="s">
        <v>3988</v>
      </c>
      <c r="AQ39" s="5" t="s">
        <v>2178</v>
      </c>
    </row>
    <row r="40" spans="2:43">
      <c r="B40" s="5">
        <v>160</v>
      </c>
      <c r="C40" s="5" t="s">
        <v>3866</v>
      </c>
      <c r="D40" s="5">
        <v>160</v>
      </c>
      <c r="L40" s="5">
        <v>109105</v>
      </c>
      <c r="M40" s="5" t="s">
        <v>1730</v>
      </c>
      <c r="R40" s="5">
        <v>640</v>
      </c>
      <c r="S40" s="5" t="s">
        <v>2496</v>
      </c>
      <c r="T40" s="5" t="s">
        <v>4025</v>
      </c>
      <c r="U40" s="5">
        <v>999999</v>
      </c>
      <c r="V40" s="5" t="s">
        <v>4014</v>
      </c>
      <c r="AI40" s="468">
        <v>42406</v>
      </c>
      <c r="AJ40" s="5" t="s">
        <v>3619</v>
      </c>
      <c r="AK40" s="5" t="s">
        <v>3620</v>
      </c>
      <c r="AN40" s="5">
        <v>37</v>
      </c>
      <c r="AO40" s="5">
        <v>20022</v>
      </c>
      <c r="AP40" s="5" t="s">
        <v>3989</v>
      </c>
      <c r="AQ40" s="5" t="s">
        <v>3739</v>
      </c>
    </row>
    <row r="41" spans="2:43">
      <c r="B41" s="5">
        <v>200</v>
      </c>
      <c r="C41" s="5" t="s">
        <v>1876</v>
      </c>
      <c r="D41" s="5">
        <v>200</v>
      </c>
      <c r="L41" s="5">
        <v>109104</v>
      </c>
      <c r="M41" s="5" t="s">
        <v>1759</v>
      </c>
      <c r="R41" s="5">
        <v>642</v>
      </c>
      <c r="S41" s="5" t="s">
        <v>2554</v>
      </c>
      <c r="T41" s="5" t="s">
        <v>4026</v>
      </c>
      <c r="U41" s="5">
        <v>999999</v>
      </c>
      <c r="V41" s="5" t="s">
        <v>4014</v>
      </c>
      <c r="AI41" s="468">
        <v>42407</v>
      </c>
      <c r="AJ41" s="5" t="s">
        <v>3621</v>
      </c>
      <c r="AK41" s="5" t="s">
        <v>3622</v>
      </c>
      <c r="AN41" s="5">
        <v>38</v>
      </c>
      <c r="AO41" s="5">
        <v>20023</v>
      </c>
      <c r="AP41" s="5" t="s">
        <v>3990</v>
      </c>
      <c r="AQ41" s="5" t="s">
        <v>2028</v>
      </c>
    </row>
    <row r="42" spans="2:43">
      <c r="B42" s="5">
        <v>300</v>
      </c>
      <c r="C42" s="5" t="s">
        <v>3665</v>
      </c>
      <c r="D42" s="5">
        <v>300</v>
      </c>
      <c r="I42" s="5" t="s">
        <v>1849</v>
      </c>
      <c r="L42" s="5">
        <v>109103</v>
      </c>
      <c r="M42" s="5" t="s">
        <v>1768</v>
      </c>
      <c r="R42" s="5">
        <v>643</v>
      </c>
      <c r="S42" s="5" t="s">
        <v>1897</v>
      </c>
      <c r="T42" s="5" t="s">
        <v>1898</v>
      </c>
      <c r="U42" s="5">
        <v>10201</v>
      </c>
      <c r="V42" s="5" t="s">
        <v>3745</v>
      </c>
      <c r="W42" s="5" t="s">
        <v>4288</v>
      </c>
      <c r="AI42" s="468">
        <v>42408</v>
      </c>
      <c r="AJ42" s="5" t="s">
        <v>3579</v>
      </c>
      <c r="AK42" s="5" t="s">
        <v>3627</v>
      </c>
      <c r="AN42" s="5">
        <v>39</v>
      </c>
      <c r="AO42" s="5">
        <v>20024</v>
      </c>
      <c r="AP42" s="5" t="s">
        <v>3991</v>
      </c>
      <c r="AQ42" s="5" t="s">
        <v>2094</v>
      </c>
    </row>
    <row r="43" spans="2:43">
      <c r="B43" s="5">
        <v>400</v>
      </c>
      <c r="C43" s="5" t="s">
        <v>3666</v>
      </c>
      <c r="D43" s="5">
        <v>400</v>
      </c>
      <c r="I43" s="5" t="s">
        <v>1857</v>
      </c>
      <c r="J43" s="5" t="s">
        <v>2618</v>
      </c>
      <c r="L43" s="5">
        <v>109102</v>
      </c>
      <c r="M43" s="5" t="s">
        <v>1737</v>
      </c>
      <c r="R43" s="5">
        <v>644</v>
      </c>
      <c r="S43" s="5" t="s">
        <v>2141</v>
      </c>
      <c r="T43" s="5" t="s">
        <v>1809</v>
      </c>
      <c r="U43" s="5">
        <v>10000</v>
      </c>
      <c r="V43" s="5" t="s">
        <v>1939</v>
      </c>
      <c r="W43" s="5" t="s">
        <v>4289</v>
      </c>
      <c r="AI43" s="468">
        <v>42409</v>
      </c>
      <c r="AJ43" s="5" t="s">
        <v>3624</v>
      </c>
      <c r="AK43" s="5" t="s">
        <v>3618</v>
      </c>
      <c r="AN43" s="5">
        <v>40</v>
      </c>
      <c r="AO43" s="5">
        <v>30001</v>
      </c>
      <c r="AP43" s="5" t="s">
        <v>3751</v>
      </c>
      <c r="AQ43" s="5" t="s">
        <v>3752</v>
      </c>
    </row>
    <row r="44" spans="2:43">
      <c r="B44" s="5">
        <v>500</v>
      </c>
      <c r="C44" s="5" t="s">
        <v>3667</v>
      </c>
      <c r="D44" s="5">
        <v>500</v>
      </c>
      <c r="I44" s="5">
        <v>0</v>
      </c>
      <c r="J44" s="5" t="s">
        <v>2616</v>
      </c>
      <c r="L44" s="5">
        <v>109101</v>
      </c>
      <c r="M44" s="5" t="s">
        <v>1702</v>
      </c>
      <c r="R44" s="5">
        <v>645</v>
      </c>
      <c r="S44" s="5" t="s">
        <v>2598</v>
      </c>
      <c r="T44" s="5" t="s">
        <v>4027</v>
      </c>
      <c r="U44" s="5">
        <v>999999</v>
      </c>
      <c r="V44" s="5" t="s">
        <v>4014</v>
      </c>
      <c r="AI44" s="468">
        <v>42410</v>
      </c>
      <c r="AJ44" s="5" t="s">
        <v>3626</v>
      </c>
      <c r="AK44" s="5" t="s">
        <v>3620</v>
      </c>
      <c r="AN44" s="5">
        <v>41</v>
      </c>
      <c r="AO44" s="5">
        <v>20014</v>
      </c>
      <c r="AP44" s="5" t="s">
        <v>3973</v>
      </c>
      <c r="AQ44" s="5" t="s">
        <v>1774</v>
      </c>
    </row>
    <row r="45" spans="2:43">
      <c r="B45" s="5">
        <v>600</v>
      </c>
      <c r="C45" s="5" t="s">
        <v>3668</v>
      </c>
      <c r="D45" s="5">
        <v>600</v>
      </c>
      <c r="I45" s="5">
        <v>1</v>
      </c>
      <c r="J45" s="5" t="s">
        <v>2617</v>
      </c>
      <c r="R45" s="5">
        <v>646</v>
      </c>
      <c r="S45" s="5" t="s">
        <v>2155</v>
      </c>
      <c r="T45" s="5" t="s">
        <v>2156</v>
      </c>
      <c r="U45" s="5">
        <v>10041</v>
      </c>
      <c r="V45" s="5" t="s">
        <v>3993</v>
      </c>
      <c r="W45" s="5" t="s">
        <v>4290</v>
      </c>
      <c r="AI45" s="468">
        <v>42411</v>
      </c>
      <c r="AJ45" s="5" t="s">
        <v>3628</v>
      </c>
      <c r="AK45" s="5" t="s">
        <v>3622</v>
      </c>
      <c r="AN45" s="5">
        <v>42</v>
      </c>
      <c r="AO45" s="5">
        <v>20015</v>
      </c>
      <c r="AP45" s="5" t="s">
        <v>3992</v>
      </c>
      <c r="AQ45" s="5" t="s">
        <v>1818</v>
      </c>
    </row>
    <row r="46" spans="2:43">
      <c r="B46" s="5">
        <v>700</v>
      </c>
      <c r="C46" s="5" t="s">
        <v>3669</v>
      </c>
      <c r="D46" s="5">
        <v>700</v>
      </c>
      <c r="R46" s="5">
        <v>647</v>
      </c>
      <c r="S46" s="5" t="s">
        <v>2089</v>
      </c>
      <c r="T46" s="5" t="s">
        <v>2090</v>
      </c>
      <c r="U46" s="5">
        <v>10106</v>
      </c>
      <c r="V46" s="5" t="s">
        <v>3754</v>
      </c>
      <c r="W46" s="5" t="s">
        <v>4291</v>
      </c>
      <c r="AI46" s="468">
        <v>42412</v>
      </c>
      <c r="AJ46" s="5" t="s">
        <v>3617</v>
      </c>
      <c r="AK46" s="5" t="s">
        <v>3623</v>
      </c>
      <c r="AN46" s="5">
        <v>43</v>
      </c>
      <c r="AO46" s="5">
        <v>10041</v>
      </c>
      <c r="AP46" s="5" t="s">
        <v>3993</v>
      </c>
      <c r="AQ46" s="5" t="s">
        <v>2156</v>
      </c>
    </row>
    <row r="47" spans="2:43">
      <c r="B47" s="5">
        <v>900</v>
      </c>
      <c r="C47" s="5" t="s">
        <v>3670</v>
      </c>
      <c r="D47" s="5">
        <v>900</v>
      </c>
      <c r="R47" s="5">
        <v>648</v>
      </c>
      <c r="S47" s="5" t="s">
        <v>2325</v>
      </c>
      <c r="T47" s="5" t="s">
        <v>1749</v>
      </c>
      <c r="U47" s="5">
        <v>10022</v>
      </c>
      <c r="V47" s="5" t="s">
        <v>1751</v>
      </c>
      <c r="W47" s="5" t="s">
        <v>4292</v>
      </c>
      <c r="AI47" s="468">
        <v>42413</v>
      </c>
      <c r="AJ47" s="5" t="s">
        <v>3619</v>
      </c>
      <c r="AK47" s="5" t="s">
        <v>3625</v>
      </c>
      <c r="AN47" s="5">
        <v>44</v>
      </c>
      <c r="AO47" s="5">
        <v>10042</v>
      </c>
      <c r="AP47" s="5" t="s">
        <v>3750</v>
      </c>
      <c r="AQ47" s="5" t="s">
        <v>2239</v>
      </c>
    </row>
    <row r="48" spans="2:43">
      <c r="B48" s="5">
        <v>110</v>
      </c>
      <c r="C48" s="5" t="s">
        <v>1877</v>
      </c>
      <c r="D48" s="5">
        <v>110</v>
      </c>
      <c r="R48" s="5">
        <v>649</v>
      </c>
      <c r="S48" s="5" t="s">
        <v>2471</v>
      </c>
      <c r="T48" s="5" t="s">
        <v>4028</v>
      </c>
      <c r="U48" s="5">
        <v>999999</v>
      </c>
      <c r="V48" s="5" t="s">
        <v>4014</v>
      </c>
      <c r="AI48" s="468">
        <v>42414</v>
      </c>
      <c r="AJ48" s="5" t="s">
        <v>3621</v>
      </c>
      <c r="AK48" s="5" t="s">
        <v>3627</v>
      </c>
      <c r="AN48" s="5">
        <v>45</v>
      </c>
      <c r="AO48" s="5">
        <v>10112</v>
      </c>
      <c r="AP48" s="5" t="s">
        <v>3994</v>
      </c>
      <c r="AQ48" s="5" t="s">
        <v>3739</v>
      </c>
    </row>
    <row r="49" spans="2:43">
      <c r="B49" s="5">
        <v>111</v>
      </c>
      <c r="C49" s="5" t="s">
        <v>1878</v>
      </c>
      <c r="D49" s="5">
        <v>111</v>
      </c>
      <c r="R49" s="5">
        <v>650</v>
      </c>
      <c r="S49" s="5" t="s">
        <v>2492</v>
      </c>
      <c r="T49" s="5" t="s">
        <v>4029</v>
      </c>
      <c r="U49" s="5">
        <v>999999</v>
      </c>
      <c r="V49" s="5" t="s">
        <v>4014</v>
      </c>
      <c r="AI49" s="468">
        <v>42415</v>
      </c>
      <c r="AJ49" s="5" t="s">
        <v>3579</v>
      </c>
      <c r="AK49" s="5" t="s">
        <v>3618</v>
      </c>
      <c r="AN49" s="5">
        <v>46</v>
      </c>
      <c r="AO49" s="5">
        <v>10113</v>
      </c>
      <c r="AP49" s="5" t="s">
        <v>3995</v>
      </c>
      <c r="AQ49" s="5" t="s">
        <v>3739</v>
      </c>
    </row>
    <row r="50" spans="2:43">
      <c r="B50" s="5">
        <v>151</v>
      </c>
      <c r="C50" s="5" t="s">
        <v>3867</v>
      </c>
      <c r="D50" s="5">
        <v>151</v>
      </c>
      <c r="R50" s="5">
        <v>651</v>
      </c>
      <c r="S50" s="5" t="s">
        <v>2268</v>
      </c>
      <c r="T50" s="5" t="s">
        <v>2269</v>
      </c>
      <c r="U50" s="5">
        <v>10104</v>
      </c>
      <c r="V50" s="5" t="s">
        <v>3980</v>
      </c>
      <c r="W50" s="5" t="s">
        <v>4293</v>
      </c>
      <c r="AI50" s="468">
        <v>42416</v>
      </c>
      <c r="AJ50" s="5" t="s">
        <v>3624</v>
      </c>
      <c r="AK50" s="5" t="s">
        <v>3620</v>
      </c>
      <c r="AN50" s="5">
        <v>47</v>
      </c>
      <c r="AO50" s="5">
        <v>10114</v>
      </c>
      <c r="AP50" s="5" t="s">
        <v>3996</v>
      </c>
      <c r="AQ50" s="5" t="s">
        <v>3739</v>
      </c>
    </row>
    <row r="51" spans="2:43">
      <c r="B51" s="5">
        <v>161</v>
      </c>
      <c r="C51" s="5" t="s">
        <v>3868</v>
      </c>
      <c r="D51" s="5">
        <v>161</v>
      </c>
      <c r="J51" s="5" t="s">
        <v>1880</v>
      </c>
      <c r="K51" s="5" t="s">
        <v>1844</v>
      </c>
      <c r="L51" s="5" t="s">
        <v>3658</v>
      </c>
      <c r="R51" s="5">
        <v>652</v>
      </c>
      <c r="S51" s="5" t="s">
        <v>2335</v>
      </c>
      <c r="T51" s="5" t="s">
        <v>2336</v>
      </c>
      <c r="U51" s="5">
        <v>10102</v>
      </c>
      <c r="V51" s="5" t="s">
        <v>3758</v>
      </c>
      <c r="W51" s="5" t="s">
        <v>4294</v>
      </c>
      <c r="AI51" s="468">
        <v>42417</v>
      </c>
      <c r="AJ51" s="5" t="s">
        <v>3626</v>
      </c>
      <c r="AK51" s="5" t="s">
        <v>3622</v>
      </c>
      <c r="AN51" s="5">
        <v>48</v>
      </c>
      <c r="AO51" s="5">
        <v>20016</v>
      </c>
      <c r="AP51" s="5" t="s">
        <v>1758</v>
      </c>
      <c r="AQ51" s="5" t="s">
        <v>1756</v>
      </c>
    </row>
    <row r="52" spans="2:43">
      <c r="B52" s="5">
        <v>210</v>
      </c>
      <c r="C52" s="5" t="s">
        <v>1879</v>
      </c>
      <c r="D52" s="5">
        <v>210</v>
      </c>
      <c r="J52" s="5">
        <v>100</v>
      </c>
      <c r="K52" s="5" t="s">
        <v>3648</v>
      </c>
      <c r="L52" s="529" t="s">
        <v>3649</v>
      </c>
      <c r="R52" s="5">
        <v>653</v>
      </c>
      <c r="S52" s="5" t="s">
        <v>1992</v>
      </c>
      <c r="T52" s="5" t="s">
        <v>1993</v>
      </c>
      <c r="U52" s="5">
        <v>10100</v>
      </c>
      <c r="V52" s="5" t="s">
        <v>3740</v>
      </c>
      <c r="W52" s="5" t="s">
        <v>4295</v>
      </c>
      <c r="AI52" s="468">
        <v>42418</v>
      </c>
      <c r="AJ52" s="5" t="s">
        <v>3628</v>
      </c>
      <c r="AK52" s="5" t="s">
        <v>3623</v>
      </c>
      <c r="AN52" s="5">
        <v>49</v>
      </c>
      <c r="AO52" s="5">
        <v>20017</v>
      </c>
      <c r="AP52" s="5" t="s">
        <v>1821</v>
      </c>
      <c r="AQ52" s="5" t="s">
        <v>1818</v>
      </c>
    </row>
    <row r="53" spans="2:43">
      <c r="B53" s="5">
        <v>310</v>
      </c>
      <c r="C53" s="5" t="s">
        <v>3671</v>
      </c>
      <c r="D53" s="5">
        <v>310</v>
      </c>
      <c r="J53" s="5">
        <v>101</v>
      </c>
      <c r="K53" s="5" t="s">
        <v>3650</v>
      </c>
      <c r="L53" s="530" t="s">
        <v>3651</v>
      </c>
      <c r="R53" s="5">
        <v>654</v>
      </c>
      <c r="S53" s="5" t="s">
        <v>2036</v>
      </c>
      <c r="T53" s="5" t="s">
        <v>2037</v>
      </c>
      <c r="U53" s="5">
        <v>10107</v>
      </c>
      <c r="V53" s="5" t="s">
        <v>3753</v>
      </c>
      <c r="W53" s="5" t="s">
        <v>4296</v>
      </c>
      <c r="AI53" s="468">
        <v>42419</v>
      </c>
      <c r="AJ53" s="5" t="s">
        <v>3617</v>
      </c>
      <c r="AK53" s="5" t="s">
        <v>3625</v>
      </c>
      <c r="AN53" s="5">
        <v>50</v>
      </c>
      <c r="AO53" s="5">
        <v>20025</v>
      </c>
      <c r="AP53" s="5" t="s">
        <v>3997</v>
      </c>
      <c r="AQ53" s="5" t="s">
        <v>3739</v>
      </c>
    </row>
    <row r="54" spans="2:43">
      <c r="B54" s="5">
        <v>410</v>
      </c>
      <c r="C54" s="5" t="s">
        <v>3672</v>
      </c>
      <c r="D54" s="5">
        <v>410</v>
      </c>
      <c r="J54" s="5">
        <v>200</v>
      </c>
      <c r="K54" s="5" t="s">
        <v>3652</v>
      </c>
      <c r="L54" s="531" t="s">
        <v>3653</v>
      </c>
      <c r="R54" s="5">
        <v>655</v>
      </c>
      <c r="S54" s="5" t="s">
        <v>1994</v>
      </c>
      <c r="T54" s="5" t="s">
        <v>1995</v>
      </c>
      <c r="U54" s="5">
        <v>40002</v>
      </c>
      <c r="V54" s="5" t="s">
        <v>4000</v>
      </c>
      <c r="W54" s="5" t="s">
        <v>4297</v>
      </c>
      <c r="AI54" s="468">
        <v>42420</v>
      </c>
      <c r="AJ54" s="5" t="s">
        <v>3619</v>
      </c>
      <c r="AK54" s="5" t="s">
        <v>3627</v>
      </c>
      <c r="AN54" s="5">
        <v>51</v>
      </c>
      <c r="AO54" s="5">
        <v>20026</v>
      </c>
      <c r="AP54" s="5" t="s">
        <v>3998</v>
      </c>
      <c r="AQ54" s="5" t="s">
        <v>3749</v>
      </c>
    </row>
    <row r="55" spans="2:43">
      <c r="B55" s="5">
        <v>510</v>
      </c>
      <c r="C55" s="5" t="s">
        <v>3673</v>
      </c>
      <c r="D55" s="5">
        <v>510</v>
      </c>
      <c r="J55" s="5">
        <v>900</v>
      </c>
      <c r="K55" s="5" t="s">
        <v>3654</v>
      </c>
      <c r="L55" s="532" t="s">
        <v>3655</v>
      </c>
      <c r="R55" s="5">
        <v>656</v>
      </c>
      <c r="S55" s="5" t="s">
        <v>2417</v>
      </c>
      <c r="T55" s="5" t="s">
        <v>2418</v>
      </c>
      <c r="U55" s="5">
        <v>10023</v>
      </c>
      <c r="V55" s="5" t="s">
        <v>4009</v>
      </c>
      <c r="W55" s="5" t="s">
        <v>4298</v>
      </c>
      <c r="AI55" s="468">
        <v>42421</v>
      </c>
      <c r="AJ55" s="5" t="s">
        <v>3621</v>
      </c>
      <c r="AK55" s="5" t="s">
        <v>3618</v>
      </c>
      <c r="AN55" s="5">
        <v>52</v>
      </c>
      <c r="AO55" s="5">
        <v>10115</v>
      </c>
      <c r="AP55" s="5" t="s">
        <v>1767</v>
      </c>
      <c r="AQ55" s="5" t="s">
        <v>1764</v>
      </c>
    </row>
    <row r="56" spans="2:43">
      <c r="B56" s="5">
        <v>710</v>
      </c>
      <c r="C56" s="5" t="s">
        <v>3674</v>
      </c>
      <c r="D56" s="5">
        <v>710</v>
      </c>
      <c r="J56" s="5">
        <v>910</v>
      </c>
      <c r="K56" s="5" t="s">
        <v>3656</v>
      </c>
      <c r="L56" s="533" t="s">
        <v>3657</v>
      </c>
      <c r="R56" s="5">
        <v>657</v>
      </c>
      <c r="S56" s="5" t="s">
        <v>3711</v>
      </c>
      <c r="T56" s="5" t="s">
        <v>4030</v>
      </c>
      <c r="U56" s="5">
        <v>999999</v>
      </c>
      <c r="V56" s="5" t="s">
        <v>4014</v>
      </c>
      <c r="AI56" s="468">
        <v>42422</v>
      </c>
      <c r="AJ56" s="5" t="s">
        <v>3579</v>
      </c>
      <c r="AK56" s="5" t="s">
        <v>3620</v>
      </c>
      <c r="AN56" s="5">
        <v>53</v>
      </c>
      <c r="AO56" s="5">
        <v>10071</v>
      </c>
      <c r="AP56" s="5" t="s">
        <v>3748</v>
      </c>
      <c r="AQ56" s="5" t="s">
        <v>2111</v>
      </c>
    </row>
    <row r="57" spans="2:43">
      <c r="B57" s="5">
        <v>910</v>
      </c>
      <c r="C57" s="5" t="s">
        <v>3675</v>
      </c>
      <c r="D57" s="5">
        <v>910</v>
      </c>
      <c r="R57" s="5">
        <v>658</v>
      </c>
      <c r="S57" s="5" t="s">
        <v>2497</v>
      </c>
      <c r="T57" s="5" t="s">
        <v>4031</v>
      </c>
      <c r="U57" s="5">
        <v>999999</v>
      </c>
      <c r="V57" s="5" t="s">
        <v>4014</v>
      </c>
      <c r="AI57" s="468">
        <v>42423</v>
      </c>
      <c r="AJ57" s="5" t="s">
        <v>3624</v>
      </c>
      <c r="AK57" s="5" t="s">
        <v>3622</v>
      </c>
      <c r="AN57" s="5">
        <v>54</v>
      </c>
      <c r="AO57" s="5">
        <v>10072</v>
      </c>
      <c r="AP57" s="5" t="s">
        <v>3999</v>
      </c>
    </row>
    <row r="58" spans="2:43">
      <c r="B58" s="5">
        <v>999</v>
      </c>
      <c r="C58" s="5" t="s">
        <v>2623</v>
      </c>
      <c r="D58" s="5">
        <v>999</v>
      </c>
      <c r="R58" s="5">
        <v>659</v>
      </c>
      <c r="S58" s="5" t="s">
        <v>2498</v>
      </c>
      <c r="T58" s="5" t="s">
        <v>4032</v>
      </c>
      <c r="U58" s="5">
        <v>999999</v>
      </c>
      <c r="V58" s="5" t="s">
        <v>4014</v>
      </c>
      <c r="AI58" s="468">
        <v>42429</v>
      </c>
      <c r="AJ58" s="5" t="s">
        <v>3579</v>
      </c>
      <c r="AK58" s="5" t="s">
        <v>3622</v>
      </c>
      <c r="AN58" s="5">
        <v>55</v>
      </c>
      <c r="AO58" s="5">
        <v>10073</v>
      </c>
      <c r="AP58" s="5" t="s">
        <v>3747</v>
      </c>
      <c r="AQ58" s="5" t="s">
        <v>2139</v>
      </c>
    </row>
    <row r="59" spans="2:43">
      <c r="R59" s="5">
        <v>660</v>
      </c>
      <c r="S59" s="5" t="s">
        <v>2499</v>
      </c>
      <c r="T59" s="5" t="s">
        <v>4033</v>
      </c>
      <c r="U59" s="5">
        <v>999999</v>
      </c>
      <c r="V59" s="5" t="s">
        <v>4014</v>
      </c>
      <c r="AI59" s="468">
        <v>42430</v>
      </c>
      <c r="AJ59" s="5" t="s">
        <v>3624</v>
      </c>
      <c r="AK59" s="5" t="s">
        <v>3623</v>
      </c>
      <c r="AN59" s="5">
        <v>56</v>
      </c>
      <c r="AO59" s="5">
        <v>40002</v>
      </c>
      <c r="AP59" s="5" t="s">
        <v>4000</v>
      </c>
      <c r="AQ59" s="5" t="s">
        <v>1995</v>
      </c>
    </row>
    <row r="60" spans="2:43">
      <c r="R60" s="5">
        <v>661</v>
      </c>
      <c r="S60" s="5" t="s">
        <v>2173</v>
      </c>
      <c r="T60" s="5" t="s">
        <v>2174</v>
      </c>
      <c r="U60" s="5">
        <v>10023</v>
      </c>
      <c r="V60" s="5" t="s">
        <v>4009</v>
      </c>
      <c r="W60" s="5" t="s">
        <v>4299</v>
      </c>
      <c r="AI60" s="468">
        <v>42431</v>
      </c>
      <c r="AJ60" s="5" t="s">
        <v>3626</v>
      </c>
      <c r="AK60" s="5" t="s">
        <v>3625</v>
      </c>
      <c r="AN60" s="5">
        <v>57</v>
      </c>
      <c r="AO60" s="5">
        <v>40003</v>
      </c>
      <c r="AP60" s="5" t="s">
        <v>4001</v>
      </c>
      <c r="AQ60" s="5" t="s">
        <v>1809</v>
      </c>
    </row>
    <row r="61" spans="2:43">
      <c r="R61" s="5">
        <v>662</v>
      </c>
      <c r="S61" s="5" t="s">
        <v>2066</v>
      </c>
      <c r="T61" s="5" t="s">
        <v>2067</v>
      </c>
      <c r="U61" s="5">
        <v>10016</v>
      </c>
      <c r="V61" s="5" t="s">
        <v>3738</v>
      </c>
      <c r="W61" s="5" t="s">
        <v>4300</v>
      </c>
      <c r="AI61" s="468">
        <v>42432</v>
      </c>
      <c r="AJ61" s="5" t="s">
        <v>3628</v>
      </c>
      <c r="AK61" s="5" t="s">
        <v>3627</v>
      </c>
      <c r="AN61" s="5">
        <v>58</v>
      </c>
      <c r="AO61" s="5">
        <v>40011</v>
      </c>
      <c r="AP61" s="5" t="s">
        <v>1802</v>
      </c>
      <c r="AQ61" s="5" t="s">
        <v>1808</v>
      </c>
    </row>
    <row r="62" spans="2:43">
      <c r="R62" s="5">
        <v>663</v>
      </c>
      <c r="S62" s="5" t="s">
        <v>1918</v>
      </c>
      <c r="T62" s="5" t="s">
        <v>1919</v>
      </c>
      <c r="U62" s="5">
        <v>10116</v>
      </c>
      <c r="V62" s="5" t="s">
        <v>3746</v>
      </c>
      <c r="W62" s="5" t="s">
        <v>4301</v>
      </c>
      <c r="AI62" s="468">
        <v>42433</v>
      </c>
      <c r="AJ62" s="5" t="s">
        <v>3617</v>
      </c>
      <c r="AK62" s="5" t="s">
        <v>3618</v>
      </c>
      <c r="AN62" s="5">
        <v>59</v>
      </c>
      <c r="AO62" s="5">
        <v>40012</v>
      </c>
      <c r="AP62" s="5" t="s">
        <v>3965</v>
      </c>
      <c r="AQ62" s="5" t="s">
        <v>4002</v>
      </c>
    </row>
    <row r="63" spans="2:43">
      <c r="R63" s="5">
        <v>664</v>
      </c>
      <c r="S63" s="5" t="s">
        <v>2039</v>
      </c>
      <c r="T63" s="5" t="s">
        <v>2040</v>
      </c>
      <c r="U63" s="5">
        <v>10021</v>
      </c>
      <c r="V63" s="5" t="s">
        <v>1791</v>
      </c>
      <c r="W63" s="5" t="s">
        <v>2041</v>
      </c>
      <c r="AI63" s="468">
        <v>42434</v>
      </c>
      <c r="AJ63" s="5" t="s">
        <v>3619</v>
      </c>
      <c r="AK63" s="5" t="s">
        <v>3620</v>
      </c>
      <c r="AN63" s="5">
        <v>60</v>
      </c>
      <c r="AO63" s="5">
        <v>40013</v>
      </c>
      <c r="AP63" s="5" t="s">
        <v>1792</v>
      </c>
      <c r="AQ63" s="5" t="s">
        <v>1797</v>
      </c>
    </row>
    <row r="64" spans="2:43">
      <c r="R64" s="5">
        <v>665</v>
      </c>
      <c r="S64" s="5" t="s">
        <v>2415</v>
      </c>
      <c r="T64" s="5" t="s">
        <v>2416</v>
      </c>
      <c r="U64" s="5">
        <v>20026</v>
      </c>
      <c r="V64" s="5" t="s">
        <v>3998</v>
      </c>
      <c r="W64" s="5" t="s">
        <v>4302</v>
      </c>
      <c r="AI64" s="468">
        <v>42435</v>
      </c>
      <c r="AJ64" s="5" t="s">
        <v>3621</v>
      </c>
      <c r="AK64" s="5" t="s">
        <v>3622</v>
      </c>
      <c r="AN64" s="5">
        <v>61</v>
      </c>
      <c r="AO64" s="5">
        <v>40014</v>
      </c>
      <c r="AP64" s="5" t="s">
        <v>4003</v>
      </c>
      <c r="AQ64" s="5" t="s">
        <v>3739</v>
      </c>
    </row>
    <row r="65" spans="2:43">
      <c r="R65" s="5">
        <v>666</v>
      </c>
      <c r="S65" s="5" t="s">
        <v>2500</v>
      </c>
      <c r="T65" s="5" t="s">
        <v>4034</v>
      </c>
      <c r="U65" s="5">
        <v>999999</v>
      </c>
      <c r="V65" s="5" t="s">
        <v>4014</v>
      </c>
      <c r="AI65" s="468">
        <v>42436</v>
      </c>
      <c r="AJ65" s="5" t="s">
        <v>3579</v>
      </c>
      <c r="AK65" s="5" t="s">
        <v>3623</v>
      </c>
      <c r="AN65" s="5">
        <v>62</v>
      </c>
      <c r="AO65" s="5">
        <v>40015</v>
      </c>
      <c r="AP65" s="5" t="s">
        <v>1814</v>
      </c>
      <c r="AQ65" s="5" t="s">
        <v>1809</v>
      </c>
    </row>
    <row r="66" spans="2:43">
      <c r="R66" s="5">
        <v>667</v>
      </c>
      <c r="S66" s="5" t="s">
        <v>2501</v>
      </c>
      <c r="T66" s="5" t="s">
        <v>4035</v>
      </c>
      <c r="U66" s="5">
        <v>999999</v>
      </c>
      <c r="V66" s="5" t="s">
        <v>4014</v>
      </c>
      <c r="AI66" s="468">
        <v>42437</v>
      </c>
      <c r="AJ66" s="5" t="s">
        <v>3624</v>
      </c>
      <c r="AK66" s="5" t="s">
        <v>3625</v>
      </c>
      <c r="AN66" s="5">
        <v>63</v>
      </c>
      <c r="AO66" s="5">
        <v>40031</v>
      </c>
      <c r="AP66" s="5" t="s">
        <v>4004</v>
      </c>
      <c r="AQ66" s="5" t="s">
        <v>3739</v>
      </c>
    </row>
    <row r="67" spans="2:43">
      <c r="I67" s="5" t="s">
        <v>1870</v>
      </c>
      <c r="J67" s="5" t="s">
        <v>238</v>
      </c>
      <c r="R67" s="5">
        <v>668</v>
      </c>
      <c r="S67" s="5" t="s">
        <v>2597</v>
      </c>
      <c r="T67" s="5" t="s">
        <v>4036</v>
      </c>
      <c r="U67" s="5">
        <v>999999</v>
      </c>
      <c r="V67" s="5" t="s">
        <v>4014</v>
      </c>
      <c r="AI67" s="468">
        <v>42438</v>
      </c>
      <c r="AJ67" s="5" t="s">
        <v>3626</v>
      </c>
      <c r="AK67" s="5" t="s">
        <v>3618</v>
      </c>
      <c r="AN67" s="5">
        <v>64</v>
      </c>
      <c r="AO67" s="5">
        <v>40032</v>
      </c>
      <c r="AP67" s="5" t="s">
        <v>4005</v>
      </c>
      <c r="AQ67" s="5" t="s">
        <v>2023</v>
      </c>
    </row>
    <row r="68" spans="2:43">
      <c r="I68" s="4" t="s">
        <v>3815</v>
      </c>
      <c r="J68" s="5" t="s">
        <v>2639</v>
      </c>
      <c r="R68" s="5">
        <v>669</v>
      </c>
      <c r="S68" s="5" t="s">
        <v>2576</v>
      </c>
      <c r="T68" s="5" t="s">
        <v>2577</v>
      </c>
      <c r="U68" s="5">
        <v>20024</v>
      </c>
      <c r="V68" s="5" t="s">
        <v>3991</v>
      </c>
      <c r="W68" s="5" t="s">
        <v>4303</v>
      </c>
      <c r="AI68" s="468">
        <v>42439</v>
      </c>
      <c r="AJ68" s="5" t="s">
        <v>3628</v>
      </c>
      <c r="AK68" s="5" t="s">
        <v>3620</v>
      </c>
      <c r="AN68" s="5">
        <v>65</v>
      </c>
      <c r="AO68" s="5">
        <v>40033</v>
      </c>
      <c r="AP68" s="5" t="s">
        <v>4006</v>
      </c>
      <c r="AQ68" s="5" t="s">
        <v>3739</v>
      </c>
    </row>
    <row r="69" spans="2:43">
      <c r="B69" s="5" t="s">
        <v>1886</v>
      </c>
      <c r="C69" s="5" t="s">
        <v>1887</v>
      </c>
      <c r="D69" s="5" t="s">
        <v>1888</v>
      </c>
      <c r="I69" s="4" t="s">
        <v>3816</v>
      </c>
      <c r="J69" s="5" t="s">
        <v>1725</v>
      </c>
      <c r="R69" s="5">
        <v>670</v>
      </c>
      <c r="S69" s="5" t="s">
        <v>2026</v>
      </c>
      <c r="T69" s="5" t="s">
        <v>1723</v>
      </c>
      <c r="U69" s="5">
        <v>10107</v>
      </c>
      <c r="V69" s="5" t="s">
        <v>3753</v>
      </c>
      <c r="W69" s="5" t="s">
        <v>4304</v>
      </c>
      <c r="AI69" s="468">
        <v>42440</v>
      </c>
      <c r="AJ69" s="5" t="s">
        <v>3617</v>
      </c>
      <c r="AK69" s="5" t="s">
        <v>3622</v>
      </c>
      <c r="AN69" s="5">
        <v>66</v>
      </c>
      <c r="AO69" s="5">
        <v>40034</v>
      </c>
      <c r="AP69" s="5" t="s">
        <v>4007</v>
      </c>
      <c r="AQ69" s="5" t="s">
        <v>2023</v>
      </c>
    </row>
    <row r="70" spans="2:43">
      <c r="B70" s="5">
        <v>421</v>
      </c>
      <c r="C70" s="5" t="s">
        <v>1937</v>
      </c>
      <c r="D70" s="5" t="s">
        <v>1938</v>
      </c>
      <c r="I70" s="4" t="s">
        <v>3817</v>
      </c>
      <c r="J70" s="5" t="s">
        <v>1766</v>
      </c>
      <c r="R70" s="5">
        <v>671</v>
      </c>
      <c r="S70" s="5" t="s">
        <v>2102</v>
      </c>
      <c r="T70" s="5" t="s">
        <v>2103</v>
      </c>
      <c r="U70" s="5">
        <v>20021</v>
      </c>
      <c r="V70" s="5" t="s">
        <v>3988</v>
      </c>
      <c r="W70" s="5" t="s">
        <v>4305</v>
      </c>
      <c r="AI70" s="468">
        <v>42441</v>
      </c>
      <c r="AJ70" s="5" t="s">
        <v>3619</v>
      </c>
      <c r="AK70" s="5" t="s">
        <v>3623</v>
      </c>
      <c r="AN70" s="5">
        <v>67</v>
      </c>
      <c r="AO70" s="5">
        <v>40035</v>
      </c>
      <c r="AP70" s="5" t="s">
        <v>4008</v>
      </c>
      <c r="AQ70" s="5" t="s">
        <v>2332</v>
      </c>
    </row>
    <row r="71" spans="2:43">
      <c r="B71" s="5">
        <v>422</v>
      </c>
      <c r="C71" s="5" t="s">
        <v>2313</v>
      </c>
      <c r="D71" s="5" t="s">
        <v>1785</v>
      </c>
      <c r="I71" s="4" t="s">
        <v>3818</v>
      </c>
      <c r="J71" s="5" t="s">
        <v>1736</v>
      </c>
      <c r="R71" s="5">
        <v>672</v>
      </c>
      <c r="S71" s="5" t="s">
        <v>2596</v>
      </c>
      <c r="T71" s="5" t="s">
        <v>4037</v>
      </c>
      <c r="U71" s="5">
        <v>999999</v>
      </c>
      <c r="V71" s="5" t="s">
        <v>4014</v>
      </c>
      <c r="AI71" s="468">
        <v>42442</v>
      </c>
      <c r="AJ71" s="5" t="s">
        <v>3621</v>
      </c>
      <c r="AK71" s="5" t="s">
        <v>3625</v>
      </c>
      <c r="AN71" s="5">
        <v>68</v>
      </c>
      <c r="AO71" s="5">
        <v>20018</v>
      </c>
      <c r="AP71" s="5" t="s">
        <v>1820</v>
      </c>
      <c r="AQ71" s="5" t="s">
        <v>1818</v>
      </c>
    </row>
    <row r="72" spans="2:43">
      <c r="B72" s="5">
        <v>423</v>
      </c>
      <c r="C72" s="5" t="s">
        <v>2413</v>
      </c>
      <c r="D72" s="5" t="s">
        <v>2414</v>
      </c>
      <c r="I72" s="4" t="s">
        <v>3819</v>
      </c>
      <c r="J72" s="5" t="s">
        <v>1715</v>
      </c>
      <c r="R72" s="5">
        <v>673</v>
      </c>
      <c r="S72" s="5" t="s">
        <v>2093</v>
      </c>
      <c r="T72" s="5" t="s">
        <v>2094</v>
      </c>
      <c r="U72" s="5">
        <v>20024</v>
      </c>
      <c r="V72" s="5" t="s">
        <v>3991</v>
      </c>
      <c r="W72" s="5" t="s">
        <v>4306</v>
      </c>
      <c r="AI72" s="468">
        <v>42443</v>
      </c>
      <c r="AJ72" s="5" t="s">
        <v>3579</v>
      </c>
      <c r="AK72" s="5" t="s">
        <v>3627</v>
      </c>
      <c r="AN72" s="5">
        <v>69</v>
      </c>
      <c r="AO72" s="5">
        <v>40016</v>
      </c>
      <c r="AP72" s="5" t="s">
        <v>3967</v>
      </c>
      <c r="AQ72" s="5" t="s">
        <v>1809</v>
      </c>
    </row>
    <row r="73" spans="2:43">
      <c r="B73" s="5">
        <v>424</v>
      </c>
      <c r="C73" s="5" t="s">
        <v>2429</v>
      </c>
      <c r="D73" s="5" t="s">
        <v>2430</v>
      </c>
      <c r="I73" s="4" t="s">
        <v>3820</v>
      </c>
      <c r="J73" s="5" t="s">
        <v>1706</v>
      </c>
      <c r="R73" s="5">
        <v>674</v>
      </c>
      <c r="S73" s="5" t="s">
        <v>2502</v>
      </c>
      <c r="T73" s="5" t="s">
        <v>4038</v>
      </c>
      <c r="U73" s="5">
        <v>999999</v>
      </c>
      <c r="V73" s="5" t="s">
        <v>4014</v>
      </c>
      <c r="AI73" s="468">
        <v>42444</v>
      </c>
      <c r="AJ73" s="5" t="s">
        <v>3624</v>
      </c>
      <c r="AK73" s="5" t="s">
        <v>3618</v>
      </c>
      <c r="AN73" s="5">
        <v>70</v>
      </c>
      <c r="AO73" s="5">
        <v>10116</v>
      </c>
      <c r="AP73" s="5" t="s">
        <v>3746</v>
      </c>
      <c r="AQ73" s="5" t="s">
        <v>1919</v>
      </c>
    </row>
    <row r="74" spans="2:43">
      <c r="B74" s="5">
        <v>425</v>
      </c>
      <c r="C74" s="5" t="s">
        <v>2419</v>
      </c>
      <c r="D74" s="5" t="s">
        <v>2420</v>
      </c>
      <c r="R74" s="5">
        <v>675</v>
      </c>
      <c r="S74" s="5" t="s">
        <v>2503</v>
      </c>
      <c r="T74" s="5" t="s">
        <v>4039</v>
      </c>
      <c r="U74" s="5">
        <v>999999</v>
      </c>
      <c r="V74" s="5" t="s">
        <v>4014</v>
      </c>
      <c r="AI74" s="468">
        <v>42445</v>
      </c>
      <c r="AJ74" s="5" t="s">
        <v>3626</v>
      </c>
      <c r="AK74" s="5" t="s">
        <v>3620</v>
      </c>
      <c r="AN74" s="5">
        <v>71</v>
      </c>
      <c r="AO74" s="5">
        <v>10201</v>
      </c>
      <c r="AP74" s="5" t="s">
        <v>3745</v>
      </c>
      <c r="AQ74" s="5" t="s">
        <v>1723</v>
      </c>
    </row>
    <row r="75" spans="2:43">
      <c r="B75" s="5">
        <v>426</v>
      </c>
      <c r="C75" s="5" t="s">
        <v>2140</v>
      </c>
      <c r="D75" s="5" t="s">
        <v>1818</v>
      </c>
      <c r="R75" s="5">
        <v>676</v>
      </c>
      <c r="S75" s="5" t="s">
        <v>1935</v>
      </c>
      <c r="T75" s="5" t="s">
        <v>1936</v>
      </c>
      <c r="U75" s="5">
        <v>20021</v>
      </c>
      <c r="V75" s="5" t="s">
        <v>3988</v>
      </c>
      <c r="W75" s="5" t="s">
        <v>4307</v>
      </c>
      <c r="AI75" s="468">
        <v>42446</v>
      </c>
      <c r="AJ75" s="5" t="s">
        <v>3628</v>
      </c>
      <c r="AK75" s="5" t="s">
        <v>3622</v>
      </c>
      <c r="AN75" s="5">
        <v>72</v>
      </c>
      <c r="AO75" s="5">
        <v>10023</v>
      </c>
      <c r="AP75" s="5" t="s">
        <v>4009</v>
      </c>
      <c r="AQ75" s="5" t="s">
        <v>2092</v>
      </c>
    </row>
    <row r="76" spans="2:43">
      <c r="B76" s="5">
        <v>481</v>
      </c>
      <c r="C76" s="5" t="s">
        <v>2277</v>
      </c>
      <c r="D76" s="5" t="s">
        <v>2278</v>
      </c>
      <c r="R76" s="5">
        <v>677</v>
      </c>
      <c r="S76" s="5" t="s">
        <v>2009</v>
      </c>
      <c r="T76" s="5" t="s">
        <v>2010</v>
      </c>
      <c r="U76" s="5">
        <v>20021</v>
      </c>
      <c r="V76" s="5" t="s">
        <v>3988</v>
      </c>
      <c r="W76" s="5" t="s">
        <v>4308</v>
      </c>
      <c r="AI76" s="468">
        <v>42447</v>
      </c>
      <c r="AJ76" s="5" t="s">
        <v>3617</v>
      </c>
      <c r="AK76" s="5" t="s">
        <v>3623</v>
      </c>
      <c r="AN76" s="5">
        <v>73</v>
      </c>
      <c r="AO76" s="5" t="s">
        <v>3743</v>
      </c>
      <c r="AP76" s="5" t="s">
        <v>3744</v>
      </c>
      <c r="AQ76" s="5" t="s">
        <v>2361</v>
      </c>
    </row>
    <row r="77" spans="2:43">
      <c r="B77" s="5">
        <v>644</v>
      </c>
      <c r="C77" s="5" t="s">
        <v>2141</v>
      </c>
      <c r="D77" s="5" t="s">
        <v>1809</v>
      </c>
      <c r="R77" s="5">
        <v>678</v>
      </c>
      <c r="S77" s="5" t="s">
        <v>2015</v>
      </c>
      <c r="T77" s="5" t="s">
        <v>2016</v>
      </c>
      <c r="U77" s="5">
        <v>10011</v>
      </c>
      <c r="V77" s="5" t="s">
        <v>3761</v>
      </c>
      <c r="W77" s="5" t="s">
        <v>4309</v>
      </c>
      <c r="AI77" s="468">
        <v>42448</v>
      </c>
      <c r="AJ77" s="5" t="s">
        <v>3619</v>
      </c>
      <c r="AK77" s="5" t="s">
        <v>3625</v>
      </c>
      <c r="AN77" s="5">
        <v>74</v>
      </c>
      <c r="AO77" s="5">
        <v>20027</v>
      </c>
      <c r="AP77" s="5" t="s">
        <v>4010</v>
      </c>
      <c r="AQ77" s="5" t="s">
        <v>3739</v>
      </c>
    </row>
    <row r="78" spans="2:43">
      <c r="B78" s="5">
        <v>1119</v>
      </c>
      <c r="C78" s="5" t="s">
        <v>4227</v>
      </c>
      <c r="D78" s="5" t="s">
        <v>4228</v>
      </c>
      <c r="R78" s="5">
        <v>679</v>
      </c>
      <c r="S78" s="5" t="s">
        <v>1901</v>
      </c>
      <c r="T78" s="5" t="s">
        <v>1902</v>
      </c>
      <c r="U78" s="5" t="s">
        <v>3742</v>
      </c>
      <c r="V78" s="5" t="s">
        <v>4012</v>
      </c>
      <c r="W78" s="5" t="s">
        <v>4310</v>
      </c>
      <c r="AI78" s="468">
        <v>42449</v>
      </c>
      <c r="AJ78" s="5" t="s">
        <v>3621</v>
      </c>
      <c r="AK78" s="5" t="s">
        <v>3627</v>
      </c>
      <c r="AN78" s="5">
        <v>75</v>
      </c>
      <c r="AO78" s="5">
        <v>40036</v>
      </c>
      <c r="AP78" s="5" t="s">
        <v>4011</v>
      </c>
      <c r="AQ78" s="5" t="s">
        <v>1809</v>
      </c>
    </row>
    <row r="79" spans="2:43">
      <c r="R79" s="5">
        <v>680</v>
      </c>
      <c r="S79" s="5" t="s">
        <v>2126</v>
      </c>
      <c r="T79" s="5" t="s">
        <v>2127</v>
      </c>
      <c r="U79" s="5" t="s">
        <v>3742</v>
      </c>
      <c r="V79" s="5" t="s">
        <v>4012</v>
      </c>
      <c r="W79" s="5" t="s">
        <v>4311</v>
      </c>
      <c r="AI79" s="468">
        <v>42450</v>
      </c>
      <c r="AJ79" s="5" t="s">
        <v>3579</v>
      </c>
      <c r="AK79" s="5" t="s">
        <v>3618</v>
      </c>
      <c r="AN79" s="5">
        <v>77</v>
      </c>
      <c r="AO79" s="5" t="s">
        <v>3742</v>
      </c>
      <c r="AP79" s="5" t="s">
        <v>4012</v>
      </c>
      <c r="AQ79" s="5" t="s">
        <v>2127</v>
      </c>
    </row>
    <row r="80" spans="2:43">
      <c r="R80" s="5">
        <v>681</v>
      </c>
      <c r="S80" s="5" t="s">
        <v>2568</v>
      </c>
      <c r="T80" s="5" t="s">
        <v>4040</v>
      </c>
      <c r="U80" s="5">
        <v>999999</v>
      </c>
      <c r="V80" s="5" t="s">
        <v>4014</v>
      </c>
      <c r="AI80" s="468">
        <v>42451</v>
      </c>
      <c r="AJ80" s="5" t="s">
        <v>3624</v>
      </c>
      <c r="AK80" s="5" t="s">
        <v>3620</v>
      </c>
      <c r="AN80" s="5">
        <v>78</v>
      </c>
      <c r="AO80" s="5">
        <v>10074</v>
      </c>
      <c r="AP80" s="5" t="s">
        <v>3741</v>
      </c>
      <c r="AQ80" s="5" t="s">
        <v>2293</v>
      </c>
    </row>
    <row r="81" spans="2:43">
      <c r="R81" s="5">
        <v>682</v>
      </c>
      <c r="S81" s="5" t="s">
        <v>1984</v>
      </c>
      <c r="T81" s="5" t="s">
        <v>1756</v>
      </c>
      <c r="U81" s="5">
        <v>20016</v>
      </c>
      <c r="V81" s="5" t="s">
        <v>1758</v>
      </c>
      <c r="W81" s="5" t="s">
        <v>4312</v>
      </c>
      <c r="AI81" s="468">
        <v>42452</v>
      </c>
      <c r="AJ81" s="5" t="s">
        <v>3626</v>
      </c>
      <c r="AK81" s="5" t="s">
        <v>3622</v>
      </c>
      <c r="AN81" s="5">
        <v>79</v>
      </c>
      <c r="AO81" s="5">
        <v>40017</v>
      </c>
      <c r="AP81" s="5" t="s">
        <v>3765</v>
      </c>
      <c r="AQ81" s="5" t="s">
        <v>1809</v>
      </c>
    </row>
    <row r="82" spans="2:43">
      <c r="R82" s="5">
        <v>683</v>
      </c>
      <c r="S82" s="5" t="s">
        <v>2356</v>
      </c>
      <c r="T82" s="5" t="s">
        <v>2357</v>
      </c>
      <c r="U82" s="5">
        <v>10104</v>
      </c>
      <c r="V82" s="5" t="s">
        <v>3980</v>
      </c>
      <c r="W82" s="5" t="s">
        <v>4313</v>
      </c>
      <c r="AI82" s="468">
        <v>42453</v>
      </c>
      <c r="AJ82" s="5" t="s">
        <v>3628</v>
      </c>
      <c r="AK82" s="5" t="s">
        <v>3623</v>
      </c>
      <c r="AN82" s="5">
        <v>80</v>
      </c>
      <c r="AO82" s="5">
        <v>99999</v>
      </c>
      <c r="AP82" s="5" t="s">
        <v>4013</v>
      </c>
    </row>
    <row r="83" spans="2:43">
      <c r="B83" s="5" t="s">
        <v>1870</v>
      </c>
      <c r="C83" s="5" t="s">
        <v>3048</v>
      </c>
      <c r="D83" s="5" t="s">
        <v>3049</v>
      </c>
      <c r="R83" s="5">
        <v>684</v>
      </c>
      <c r="S83" s="5" t="s">
        <v>2491</v>
      </c>
      <c r="T83" s="5" t="s">
        <v>4041</v>
      </c>
      <c r="U83" s="5">
        <v>999999</v>
      </c>
      <c r="V83" s="5" t="s">
        <v>4014</v>
      </c>
      <c r="AI83" s="468">
        <v>42454</v>
      </c>
      <c r="AJ83" s="5" t="s">
        <v>3617</v>
      </c>
      <c r="AK83" s="5" t="s">
        <v>3625</v>
      </c>
      <c r="AN83" s="5">
        <v>81</v>
      </c>
      <c r="AO83" s="5">
        <v>999999</v>
      </c>
      <c r="AP83" s="5" t="s">
        <v>4014</v>
      </c>
    </row>
    <row r="84" spans="2:43">
      <c r="B84" s="5">
        <v>211729</v>
      </c>
      <c r="C84" s="5" t="s">
        <v>2639</v>
      </c>
      <c r="D84" s="5" t="s">
        <v>2639</v>
      </c>
      <c r="R84" s="5">
        <v>685</v>
      </c>
      <c r="S84" s="5" t="s">
        <v>2077</v>
      </c>
      <c r="T84" s="5" t="s">
        <v>2078</v>
      </c>
      <c r="U84" s="5">
        <v>10107</v>
      </c>
      <c r="V84" s="5" t="s">
        <v>3753</v>
      </c>
      <c r="W84" s="5" t="s">
        <v>4314</v>
      </c>
      <c r="AI84" s="468">
        <v>42455</v>
      </c>
      <c r="AJ84" s="5" t="s">
        <v>3619</v>
      </c>
      <c r="AK84" s="5" t="s">
        <v>3627</v>
      </c>
      <c r="AN84" s="5">
        <v>82</v>
      </c>
      <c r="AO84" s="5" t="s">
        <v>4015</v>
      </c>
      <c r="AP84" s="5" t="s">
        <v>4016</v>
      </c>
      <c r="AQ84" s="5" t="s">
        <v>4017</v>
      </c>
    </row>
    <row r="85" spans="2:43">
      <c r="B85" s="5">
        <v>211728</v>
      </c>
      <c r="C85" s="5" t="s">
        <v>3050</v>
      </c>
      <c r="D85" s="5" t="s">
        <v>3051</v>
      </c>
      <c r="R85" s="5">
        <v>686</v>
      </c>
      <c r="S85" s="5" t="s">
        <v>2118</v>
      </c>
      <c r="T85" s="5" t="s">
        <v>2119</v>
      </c>
      <c r="U85" s="5">
        <v>40035</v>
      </c>
      <c r="V85" s="5" t="s">
        <v>4008</v>
      </c>
      <c r="W85" s="5" t="s">
        <v>4315</v>
      </c>
      <c r="AI85" s="468">
        <v>42456</v>
      </c>
      <c r="AJ85" s="5" t="s">
        <v>3621</v>
      </c>
      <c r="AK85" s="5" t="s">
        <v>3618</v>
      </c>
    </row>
    <row r="86" spans="2:43">
      <c r="B86" s="5">
        <v>211727</v>
      </c>
      <c r="C86" s="5" t="s">
        <v>3052</v>
      </c>
      <c r="D86" s="5" t="s">
        <v>3051</v>
      </c>
      <c r="R86" s="5">
        <v>687</v>
      </c>
      <c r="S86" s="5" t="s">
        <v>2321</v>
      </c>
      <c r="T86" s="5" t="s">
        <v>1735</v>
      </c>
      <c r="U86" s="5">
        <v>40016</v>
      </c>
      <c r="V86" s="5" t="s">
        <v>3967</v>
      </c>
      <c r="W86" s="5" t="s">
        <v>4316</v>
      </c>
      <c r="AI86" s="468">
        <v>42457</v>
      </c>
      <c r="AJ86" s="5" t="s">
        <v>3579</v>
      </c>
      <c r="AK86" s="5" t="s">
        <v>3620</v>
      </c>
    </row>
    <row r="87" spans="2:43">
      <c r="B87" s="5">
        <v>211726</v>
      </c>
      <c r="C87" s="5" t="s">
        <v>3053</v>
      </c>
      <c r="D87" s="5" t="s">
        <v>2639</v>
      </c>
      <c r="R87" s="5">
        <v>688</v>
      </c>
      <c r="S87" s="5" t="s">
        <v>2042</v>
      </c>
      <c r="T87" s="5" t="s">
        <v>4042</v>
      </c>
      <c r="U87" s="5">
        <v>999999</v>
      </c>
      <c r="V87" s="5" t="s">
        <v>4014</v>
      </c>
      <c r="AI87" s="468">
        <v>42458</v>
      </c>
      <c r="AJ87" s="5" t="s">
        <v>3624</v>
      </c>
      <c r="AK87" s="5" t="s">
        <v>3622</v>
      </c>
    </row>
    <row r="88" spans="2:43">
      <c r="B88" s="5">
        <v>211725</v>
      </c>
      <c r="C88" s="5" t="s">
        <v>3054</v>
      </c>
      <c r="D88" s="5" t="s">
        <v>2639</v>
      </c>
      <c r="R88" s="5">
        <v>689</v>
      </c>
      <c r="S88" s="5" t="s">
        <v>2331</v>
      </c>
      <c r="T88" s="5" t="s">
        <v>2332</v>
      </c>
      <c r="U88" s="5">
        <v>40035</v>
      </c>
      <c r="V88" s="5" t="s">
        <v>4008</v>
      </c>
      <c r="W88" s="5" t="s">
        <v>4317</v>
      </c>
      <c r="AI88" s="468">
        <v>42459</v>
      </c>
      <c r="AJ88" s="5" t="s">
        <v>3626</v>
      </c>
      <c r="AK88" s="5" t="s">
        <v>3623</v>
      </c>
    </row>
    <row r="89" spans="2:43">
      <c r="B89" s="5">
        <v>211724</v>
      </c>
      <c r="C89" s="5" t="s">
        <v>3055</v>
      </c>
      <c r="D89" s="5" t="s">
        <v>3051</v>
      </c>
      <c r="R89" s="5">
        <v>690</v>
      </c>
      <c r="S89" s="5" t="s">
        <v>2595</v>
      </c>
      <c r="T89" s="5" t="s">
        <v>4043</v>
      </c>
      <c r="U89" s="5">
        <v>999999</v>
      </c>
      <c r="V89" s="5" t="s">
        <v>4014</v>
      </c>
      <c r="AI89" s="468">
        <v>42460</v>
      </c>
      <c r="AJ89" s="5" t="s">
        <v>3628</v>
      </c>
      <c r="AK89" s="5" t="s">
        <v>3625</v>
      </c>
    </row>
    <row r="90" spans="2:43">
      <c r="B90" s="5">
        <v>211723</v>
      </c>
      <c r="C90" s="5" t="s">
        <v>3056</v>
      </c>
      <c r="D90" s="5" t="s">
        <v>3057</v>
      </c>
      <c r="R90" s="5">
        <v>691</v>
      </c>
      <c r="S90" s="5" t="s">
        <v>1946</v>
      </c>
      <c r="T90" s="5" t="s">
        <v>1947</v>
      </c>
      <c r="U90" s="5">
        <v>10100</v>
      </c>
      <c r="V90" s="5" t="s">
        <v>3740</v>
      </c>
      <c r="W90" s="5" t="s">
        <v>4318</v>
      </c>
      <c r="AI90" s="468">
        <v>42461</v>
      </c>
      <c r="AJ90" s="5" t="s">
        <v>3617</v>
      </c>
      <c r="AK90" s="5" t="s">
        <v>3627</v>
      </c>
    </row>
    <row r="91" spans="2:43">
      <c r="B91" s="5">
        <v>211722</v>
      </c>
      <c r="C91" s="5" t="s">
        <v>3058</v>
      </c>
      <c r="D91" s="5" t="s">
        <v>3057</v>
      </c>
      <c r="R91" s="5">
        <v>692</v>
      </c>
      <c r="S91" s="5" t="s">
        <v>2254</v>
      </c>
      <c r="T91" s="5" t="s">
        <v>4044</v>
      </c>
      <c r="U91" s="5">
        <v>999999</v>
      </c>
      <c r="V91" s="5" t="s">
        <v>4014</v>
      </c>
      <c r="AI91" s="468">
        <v>42462</v>
      </c>
      <c r="AJ91" s="5" t="s">
        <v>3619</v>
      </c>
      <c r="AK91" s="5" t="s">
        <v>3618</v>
      </c>
    </row>
    <row r="92" spans="2:43">
      <c r="B92" s="5">
        <v>211721</v>
      </c>
      <c r="C92" s="5" t="s">
        <v>3059</v>
      </c>
      <c r="D92" s="5" t="s">
        <v>3057</v>
      </c>
      <c r="R92" s="5">
        <v>693</v>
      </c>
      <c r="S92" s="5" t="s">
        <v>2267</v>
      </c>
      <c r="T92" s="5" t="s">
        <v>4045</v>
      </c>
      <c r="U92" s="5">
        <v>999999</v>
      </c>
      <c r="V92" s="5" t="s">
        <v>4014</v>
      </c>
      <c r="AI92" s="468">
        <v>42464</v>
      </c>
      <c r="AJ92" s="5" t="s">
        <v>3579</v>
      </c>
      <c r="AK92" s="5" t="s">
        <v>3622</v>
      </c>
    </row>
    <row r="93" spans="2:43">
      <c r="B93" s="5">
        <v>211720</v>
      </c>
      <c r="C93" s="5" t="s">
        <v>3060</v>
      </c>
      <c r="D93" s="5" t="s">
        <v>3061</v>
      </c>
      <c r="R93" s="5">
        <v>694</v>
      </c>
      <c r="S93" s="5" t="s">
        <v>2100</v>
      </c>
      <c r="T93" s="5" t="s">
        <v>1780</v>
      </c>
      <c r="U93" s="5">
        <v>10013</v>
      </c>
      <c r="V93" s="5" t="s">
        <v>1782</v>
      </c>
      <c r="W93" s="5" t="s">
        <v>4319</v>
      </c>
      <c r="AI93" s="468">
        <v>42465</v>
      </c>
      <c r="AJ93" s="5" t="s">
        <v>3624</v>
      </c>
      <c r="AK93" s="5" t="s">
        <v>3623</v>
      </c>
    </row>
    <row r="94" spans="2:43">
      <c r="B94" s="5">
        <v>211719</v>
      </c>
      <c r="C94" s="5" t="s">
        <v>3061</v>
      </c>
      <c r="D94" s="5" t="s">
        <v>3061</v>
      </c>
      <c r="R94" s="5">
        <v>695</v>
      </c>
      <c r="S94" s="5" t="s">
        <v>2339</v>
      </c>
      <c r="T94" s="5" t="s">
        <v>2340</v>
      </c>
      <c r="U94" s="5">
        <v>10109</v>
      </c>
      <c r="V94" s="5" t="s">
        <v>3982</v>
      </c>
      <c r="W94" s="5" t="s">
        <v>4320</v>
      </c>
      <c r="AI94" s="468">
        <v>42466</v>
      </c>
      <c r="AJ94" s="5" t="s">
        <v>3626</v>
      </c>
      <c r="AK94" s="5" t="s">
        <v>3625</v>
      </c>
    </row>
    <row r="95" spans="2:43">
      <c r="B95" s="5">
        <v>211718</v>
      </c>
      <c r="C95" s="5" t="s">
        <v>3062</v>
      </c>
      <c r="D95" s="5" t="s">
        <v>3063</v>
      </c>
      <c r="R95" s="5">
        <v>696</v>
      </c>
      <c r="S95" s="5" t="s">
        <v>2504</v>
      </c>
      <c r="T95" s="5" t="s">
        <v>4046</v>
      </c>
      <c r="U95" s="5">
        <v>999999</v>
      </c>
      <c r="V95" s="5" t="s">
        <v>4014</v>
      </c>
      <c r="AI95" s="468">
        <v>42467</v>
      </c>
      <c r="AJ95" s="5" t="s">
        <v>3628</v>
      </c>
      <c r="AK95" s="5" t="s">
        <v>3620</v>
      </c>
    </row>
    <row r="96" spans="2:43">
      <c r="R96" s="5">
        <v>697</v>
      </c>
      <c r="S96" s="5" t="s">
        <v>2437</v>
      </c>
      <c r="T96" s="5" t="s">
        <v>2438</v>
      </c>
      <c r="U96" s="5" t="s">
        <v>3742</v>
      </c>
      <c r="V96" s="5" t="s">
        <v>4012</v>
      </c>
      <c r="W96" s="5" t="s">
        <v>4321</v>
      </c>
      <c r="AI96" s="468">
        <v>42468</v>
      </c>
      <c r="AJ96" s="5" t="s">
        <v>3617</v>
      </c>
      <c r="AK96" s="5" t="s">
        <v>3622</v>
      </c>
    </row>
    <row r="97" spans="2:37">
      <c r="R97" s="5">
        <v>698</v>
      </c>
      <c r="S97" s="5" t="s">
        <v>2551</v>
      </c>
      <c r="T97" s="5" t="s">
        <v>4047</v>
      </c>
      <c r="U97" s="5">
        <v>999999</v>
      </c>
      <c r="V97" s="5" t="s">
        <v>4014</v>
      </c>
      <c r="AI97" s="468">
        <v>42469</v>
      </c>
      <c r="AJ97" s="5" t="s">
        <v>3619</v>
      </c>
      <c r="AK97" s="5" t="s">
        <v>3623</v>
      </c>
    </row>
    <row r="98" spans="2:37">
      <c r="B98" s="4"/>
      <c r="R98" s="5">
        <v>699</v>
      </c>
      <c r="S98" s="5" t="s">
        <v>2505</v>
      </c>
      <c r="T98" s="5" t="s">
        <v>4048</v>
      </c>
      <c r="U98" s="5">
        <v>999999</v>
      </c>
      <c r="V98" s="5" t="s">
        <v>4014</v>
      </c>
      <c r="AI98" s="468">
        <v>42470</v>
      </c>
      <c r="AJ98" s="5" t="s">
        <v>3621</v>
      </c>
      <c r="AK98" s="5" t="s">
        <v>3625</v>
      </c>
    </row>
    <row r="99" spans="2:37">
      <c r="B99" s="4" t="s">
        <v>3078</v>
      </c>
      <c r="R99" s="5">
        <v>700</v>
      </c>
      <c r="S99" s="5" t="s">
        <v>2594</v>
      </c>
      <c r="T99" s="5" t="s">
        <v>4049</v>
      </c>
      <c r="U99" s="5">
        <v>999999</v>
      </c>
      <c r="V99" s="5" t="s">
        <v>4014</v>
      </c>
      <c r="AI99" s="468">
        <v>42471</v>
      </c>
      <c r="AJ99" s="5" t="s">
        <v>3579</v>
      </c>
      <c r="AK99" s="5" t="s">
        <v>3627</v>
      </c>
    </row>
    <row r="100" spans="2:37">
      <c r="B100" s="4" t="s">
        <v>1843</v>
      </c>
      <c r="C100" s="5" t="s">
        <v>3083</v>
      </c>
      <c r="R100" s="5">
        <v>701</v>
      </c>
      <c r="S100" s="5" t="s">
        <v>1969</v>
      </c>
      <c r="T100" s="5" t="s">
        <v>1970</v>
      </c>
      <c r="U100" s="5">
        <v>10105</v>
      </c>
      <c r="V100" s="5" t="s">
        <v>3755</v>
      </c>
      <c r="W100" s="5" t="s">
        <v>4322</v>
      </c>
      <c r="AI100" s="468">
        <v>42472</v>
      </c>
      <c r="AJ100" s="5" t="s">
        <v>3624</v>
      </c>
      <c r="AK100" s="5" t="s">
        <v>3618</v>
      </c>
    </row>
    <row r="101" spans="2:37">
      <c r="B101" s="4" t="s">
        <v>3085</v>
      </c>
      <c r="C101" s="5" t="s">
        <v>3079</v>
      </c>
      <c r="R101" s="5">
        <v>702</v>
      </c>
      <c r="S101" s="5" t="s">
        <v>1929</v>
      </c>
      <c r="T101" s="5" t="s">
        <v>1930</v>
      </c>
      <c r="U101" s="5">
        <v>10109</v>
      </c>
      <c r="V101" s="5" t="s">
        <v>3982</v>
      </c>
      <c r="W101" s="5" t="s">
        <v>4323</v>
      </c>
      <c r="AI101" s="468">
        <v>42473</v>
      </c>
      <c r="AJ101" s="5" t="s">
        <v>3626</v>
      </c>
      <c r="AK101" s="5" t="s">
        <v>3620</v>
      </c>
    </row>
    <row r="102" spans="2:37">
      <c r="B102" s="4" t="s">
        <v>3084</v>
      </c>
      <c r="C102" s="5" t="s">
        <v>3080</v>
      </c>
      <c r="R102" s="5">
        <v>703</v>
      </c>
      <c r="S102" s="5" t="s">
        <v>1912</v>
      </c>
      <c r="T102" s="5" t="s">
        <v>1913</v>
      </c>
      <c r="U102" s="5">
        <v>10109</v>
      </c>
      <c r="V102" s="5" t="s">
        <v>3982</v>
      </c>
      <c r="W102" s="5" t="s">
        <v>4324</v>
      </c>
      <c r="AI102" s="468">
        <v>42474</v>
      </c>
      <c r="AJ102" s="5" t="s">
        <v>3628</v>
      </c>
      <c r="AK102" s="5" t="s">
        <v>3622</v>
      </c>
    </row>
    <row r="103" spans="2:37">
      <c r="B103" s="4" t="s">
        <v>3086</v>
      </c>
      <c r="C103" s="5" t="s">
        <v>3081</v>
      </c>
      <c r="R103" s="5">
        <v>704</v>
      </c>
      <c r="S103" s="5" t="s">
        <v>3712</v>
      </c>
      <c r="T103" s="5" t="s">
        <v>3712</v>
      </c>
      <c r="W103" s="5" t="s">
        <v>4309</v>
      </c>
      <c r="AI103" s="468">
        <v>42475</v>
      </c>
      <c r="AJ103" s="5" t="s">
        <v>3617</v>
      </c>
      <c r="AK103" s="5" t="s">
        <v>3623</v>
      </c>
    </row>
    <row r="104" spans="2:37">
      <c r="B104" s="4" t="s">
        <v>3087</v>
      </c>
      <c r="C104" s="5" t="s">
        <v>3082</v>
      </c>
      <c r="R104" s="5">
        <v>705</v>
      </c>
      <c r="S104" s="5" t="s">
        <v>3713</v>
      </c>
      <c r="T104" s="5" t="s">
        <v>3714</v>
      </c>
      <c r="W104" s="5" t="s">
        <v>4325</v>
      </c>
      <c r="AI104" s="468">
        <v>42476</v>
      </c>
      <c r="AJ104" s="5" t="s">
        <v>3619</v>
      </c>
      <c r="AK104" s="5" t="s">
        <v>3625</v>
      </c>
    </row>
    <row r="105" spans="2:37">
      <c r="B105" s="4" t="s">
        <v>3088</v>
      </c>
      <c r="C105" s="5" t="s">
        <v>1683</v>
      </c>
      <c r="R105" s="5">
        <v>706</v>
      </c>
      <c r="S105" s="5" t="s">
        <v>2240</v>
      </c>
      <c r="T105" s="5" t="s">
        <v>2241</v>
      </c>
      <c r="U105" s="5">
        <v>20024</v>
      </c>
      <c r="V105" s="5" t="s">
        <v>3991</v>
      </c>
      <c r="W105" s="5" t="s">
        <v>4326</v>
      </c>
      <c r="AI105" s="468">
        <v>42477</v>
      </c>
      <c r="AJ105" s="5" t="s">
        <v>3621</v>
      </c>
      <c r="AK105" s="5" t="s">
        <v>3627</v>
      </c>
    </row>
    <row r="106" spans="2:37">
      <c r="B106" s="4"/>
      <c r="R106" s="5">
        <v>707</v>
      </c>
      <c r="S106" s="5" t="s">
        <v>1987</v>
      </c>
      <c r="T106" s="5" t="s">
        <v>1988</v>
      </c>
      <c r="U106" s="5">
        <v>20023</v>
      </c>
      <c r="V106" s="5" t="s">
        <v>3990</v>
      </c>
      <c r="W106" s="5" t="s">
        <v>4327</v>
      </c>
      <c r="AI106" s="468">
        <v>42478</v>
      </c>
      <c r="AJ106" s="5" t="s">
        <v>3579</v>
      </c>
      <c r="AK106" s="5" t="s">
        <v>3618</v>
      </c>
    </row>
    <row r="107" spans="2:37">
      <c r="B107" s="4"/>
      <c r="R107" s="5">
        <v>708</v>
      </c>
      <c r="S107" s="5" t="s">
        <v>2104</v>
      </c>
      <c r="T107" s="5" t="s">
        <v>2105</v>
      </c>
      <c r="U107" s="5">
        <v>10018</v>
      </c>
      <c r="V107" s="5" t="s">
        <v>1743</v>
      </c>
      <c r="W107" s="5" t="s">
        <v>4328</v>
      </c>
      <c r="AI107" s="468">
        <v>42479</v>
      </c>
      <c r="AJ107" s="5" t="s">
        <v>3624</v>
      </c>
      <c r="AK107" s="5" t="s">
        <v>3620</v>
      </c>
    </row>
    <row r="108" spans="2:37">
      <c r="B108" s="4"/>
      <c r="R108" s="5">
        <v>709</v>
      </c>
      <c r="S108" s="5" t="s">
        <v>2142</v>
      </c>
      <c r="T108" s="5" t="s">
        <v>2143</v>
      </c>
      <c r="U108" s="5">
        <v>10002</v>
      </c>
      <c r="V108" s="5" t="s">
        <v>3764</v>
      </c>
      <c r="W108" s="5" t="s">
        <v>4329</v>
      </c>
      <c r="AI108" s="468">
        <v>42480</v>
      </c>
      <c r="AJ108" s="5" t="s">
        <v>3626</v>
      </c>
      <c r="AK108" s="5" t="s">
        <v>3622</v>
      </c>
    </row>
    <row r="109" spans="2:37">
      <c r="B109" s="4"/>
      <c r="R109" s="5">
        <v>710</v>
      </c>
      <c r="S109" s="5" t="s">
        <v>2348</v>
      </c>
      <c r="T109" s="5" t="s">
        <v>2349</v>
      </c>
      <c r="U109" s="5">
        <v>10002</v>
      </c>
      <c r="V109" s="5" t="s">
        <v>3764</v>
      </c>
      <c r="W109" s="5" t="s">
        <v>4330</v>
      </c>
      <c r="AI109" s="468">
        <v>42481</v>
      </c>
      <c r="AJ109" s="5" t="s">
        <v>3628</v>
      </c>
      <c r="AK109" s="5" t="s">
        <v>3623</v>
      </c>
    </row>
    <row r="110" spans="2:37">
      <c r="B110" s="4"/>
      <c r="R110" s="5">
        <v>711</v>
      </c>
      <c r="S110" s="5" t="s">
        <v>2207</v>
      </c>
      <c r="T110" s="5" t="s">
        <v>2208</v>
      </c>
      <c r="U110" s="5">
        <v>10002</v>
      </c>
      <c r="V110" s="5" t="s">
        <v>3764</v>
      </c>
      <c r="W110" s="5" t="s">
        <v>4331</v>
      </c>
      <c r="AI110" s="468">
        <v>42482</v>
      </c>
      <c r="AJ110" s="5" t="s">
        <v>3617</v>
      </c>
      <c r="AK110" s="5" t="s">
        <v>3625</v>
      </c>
    </row>
    <row r="111" spans="2:37">
      <c r="B111" s="4"/>
      <c r="R111" s="5">
        <v>712</v>
      </c>
      <c r="S111" s="5" t="s">
        <v>2169</v>
      </c>
      <c r="T111" s="5" t="s">
        <v>2170</v>
      </c>
      <c r="U111" s="5">
        <v>10002</v>
      </c>
      <c r="V111" s="5" t="s">
        <v>3764</v>
      </c>
      <c r="W111" s="5" t="s">
        <v>4332</v>
      </c>
      <c r="AI111" s="468">
        <v>42483</v>
      </c>
      <c r="AJ111" s="5" t="s">
        <v>3619</v>
      </c>
      <c r="AK111" s="5" t="s">
        <v>3627</v>
      </c>
    </row>
    <row r="112" spans="2:37">
      <c r="B112" s="4" t="s">
        <v>3097</v>
      </c>
      <c r="R112" s="5">
        <v>713</v>
      </c>
      <c r="S112" s="5" t="s">
        <v>2195</v>
      </c>
      <c r="T112" s="5" t="s">
        <v>2196</v>
      </c>
      <c r="U112" s="5">
        <v>10002</v>
      </c>
      <c r="V112" s="5" t="s">
        <v>3764</v>
      </c>
      <c r="W112" s="5" t="s">
        <v>4333</v>
      </c>
      <c r="AI112" s="468">
        <v>42484</v>
      </c>
      <c r="AJ112" s="5" t="s">
        <v>3621</v>
      </c>
      <c r="AK112" s="5" t="s">
        <v>3618</v>
      </c>
    </row>
    <row r="113" spans="2:37">
      <c r="B113" s="4" t="s">
        <v>1843</v>
      </c>
      <c r="C113" s="5" t="s">
        <v>3096</v>
      </c>
      <c r="R113" s="5">
        <v>714</v>
      </c>
      <c r="S113" s="5" t="s">
        <v>2388</v>
      </c>
      <c r="T113" s="5" t="s">
        <v>2389</v>
      </c>
      <c r="U113" s="5">
        <v>10002</v>
      </c>
      <c r="V113" s="5" t="s">
        <v>3764</v>
      </c>
      <c r="W113" s="5" t="s">
        <v>4334</v>
      </c>
      <c r="AI113" s="468">
        <v>42485</v>
      </c>
      <c r="AJ113" s="5" t="s">
        <v>3579</v>
      </c>
      <c r="AK113" s="5" t="s">
        <v>3620</v>
      </c>
    </row>
    <row r="114" spans="2:37">
      <c r="B114" s="4" t="s">
        <v>3088</v>
      </c>
      <c r="C114" s="5" t="s">
        <v>3089</v>
      </c>
      <c r="R114" s="5">
        <v>715</v>
      </c>
      <c r="S114" s="5" t="s">
        <v>2209</v>
      </c>
      <c r="T114" s="5" t="s">
        <v>2210</v>
      </c>
      <c r="U114" s="5">
        <v>10002</v>
      </c>
      <c r="V114" s="5" t="s">
        <v>3764</v>
      </c>
      <c r="W114" s="5" t="s">
        <v>4335</v>
      </c>
      <c r="AI114" s="468">
        <v>42486</v>
      </c>
      <c r="AJ114" s="5" t="s">
        <v>3624</v>
      </c>
      <c r="AK114" s="5" t="s">
        <v>3622</v>
      </c>
    </row>
    <row r="115" spans="2:37">
      <c r="B115" s="4" t="s">
        <v>3087</v>
      </c>
      <c r="C115" s="5" t="s">
        <v>3090</v>
      </c>
      <c r="R115" s="5">
        <v>716</v>
      </c>
      <c r="S115" s="5" t="s">
        <v>2506</v>
      </c>
      <c r="T115" s="5" t="s">
        <v>4050</v>
      </c>
      <c r="U115" s="5">
        <v>999999</v>
      </c>
      <c r="V115" s="5" t="s">
        <v>4014</v>
      </c>
      <c r="AI115" s="468">
        <v>42487</v>
      </c>
      <c r="AJ115" s="5" t="s">
        <v>3626</v>
      </c>
      <c r="AK115" s="5" t="s">
        <v>3623</v>
      </c>
    </row>
    <row r="116" spans="2:37">
      <c r="B116" s="4" t="s">
        <v>3086</v>
      </c>
      <c r="C116" s="5" t="s">
        <v>3091</v>
      </c>
      <c r="R116" s="5">
        <v>717</v>
      </c>
      <c r="S116" s="5" t="s">
        <v>2201</v>
      </c>
      <c r="T116" s="5" t="s">
        <v>2202</v>
      </c>
      <c r="U116" s="5">
        <v>10002</v>
      </c>
      <c r="V116" s="5" t="s">
        <v>3764</v>
      </c>
      <c r="W116" s="5" t="s">
        <v>4336</v>
      </c>
      <c r="AI116" s="468">
        <v>42488</v>
      </c>
      <c r="AJ116" s="5" t="s">
        <v>3628</v>
      </c>
      <c r="AK116" s="5" t="s">
        <v>3625</v>
      </c>
    </row>
    <row r="117" spans="2:37">
      <c r="B117" s="4" t="s">
        <v>3084</v>
      </c>
      <c r="C117" s="5" t="s">
        <v>3092</v>
      </c>
      <c r="R117" s="5">
        <v>718</v>
      </c>
      <c r="S117" s="5" t="s">
        <v>2158</v>
      </c>
      <c r="T117" s="5" t="s">
        <v>2159</v>
      </c>
      <c r="U117" s="5">
        <v>10002</v>
      </c>
      <c r="V117" s="5" t="s">
        <v>3764</v>
      </c>
      <c r="W117" s="5" t="s">
        <v>4337</v>
      </c>
      <c r="AI117" s="468">
        <v>42489</v>
      </c>
      <c r="AJ117" s="5" t="s">
        <v>3617</v>
      </c>
      <c r="AK117" s="5" t="s">
        <v>3627</v>
      </c>
    </row>
    <row r="118" spans="2:37">
      <c r="B118" s="4" t="s">
        <v>3085</v>
      </c>
      <c r="C118" s="5" t="s">
        <v>3093</v>
      </c>
      <c r="R118" s="5">
        <v>719</v>
      </c>
      <c r="S118" s="5" t="s">
        <v>2203</v>
      </c>
      <c r="T118" s="5" t="s">
        <v>2204</v>
      </c>
      <c r="U118" s="5">
        <v>10002</v>
      </c>
      <c r="V118" s="5" t="s">
        <v>3764</v>
      </c>
      <c r="W118" s="5" t="s">
        <v>4338</v>
      </c>
      <c r="AI118" s="468">
        <v>42490</v>
      </c>
      <c r="AJ118" s="5" t="s">
        <v>3619</v>
      </c>
      <c r="AK118" s="5" t="s">
        <v>3618</v>
      </c>
    </row>
    <row r="119" spans="2:37">
      <c r="B119" s="4" t="s">
        <v>3098</v>
      </c>
      <c r="C119" s="5" t="s">
        <v>3094</v>
      </c>
      <c r="R119" s="5">
        <v>720</v>
      </c>
      <c r="S119" s="5" t="s">
        <v>2403</v>
      </c>
      <c r="T119" s="5" t="s">
        <v>2404</v>
      </c>
      <c r="U119" s="5">
        <v>10002</v>
      </c>
      <c r="V119" s="5" t="s">
        <v>3764</v>
      </c>
      <c r="W119" s="5" t="s">
        <v>4339</v>
      </c>
      <c r="AI119" s="468">
        <v>42491</v>
      </c>
      <c r="AJ119" s="5" t="s">
        <v>3621</v>
      </c>
      <c r="AK119" s="5" t="s">
        <v>3620</v>
      </c>
    </row>
    <row r="120" spans="2:37">
      <c r="B120" s="4" t="s">
        <v>3099</v>
      </c>
      <c r="C120" s="5" t="s">
        <v>2639</v>
      </c>
      <c r="R120" s="5">
        <v>721</v>
      </c>
      <c r="S120" s="5" t="s">
        <v>2483</v>
      </c>
      <c r="T120" s="5" t="s">
        <v>4051</v>
      </c>
      <c r="U120" s="5">
        <v>999999</v>
      </c>
      <c r="V120" s="5" t="s">
        <v>4014</v>
      </c>
      <c r="AI120" s="468">
        <v>42492</v>
      </c>
      <c r="AJ120" s="5" t="s">
        <v>3579</v>
      </c>
      <c r="AK120" s="5" t="s">
        <v>3622</v>
      </c>
    </row>
    <row r="121" spans="2:37">
      <c r="B121" s="4" t="s">
        <v>3100</v>
      </c>
      <c r="C121" s="5" t="s">
        <v>3095</v>
      </c>
      <c r="R121" s="5">
        <v>722</v>
      </c>
      <c r="S121" s="5" t="s">
        <v>2070</v>
      </c>
      <c r="T121" s="5" t="s">
        <v>2071</v>
      </c>
      <c r="U121" s="5">
        <v>10110</v>
      </c>
      <c r="V121" s="5" t="s">
        <v>3983</v>
      </c>
      <c r="W121" s="5" t="s">
        <v>4340</v>
      </c>
      <c r="AI121" s="468">
        <v>42493</v>
      </c>
      <c r="AJ121" s="5" t="s">
        <v>3624</v>
      </c>
      <c r="AK121" s="5" t="s">
        <v>3623</v>
      </c>
    </row>
    <row r="122" spans="2:37">
      <c r="B122" s="4"/>
      <c r="R122" s="5">
        <v>723</v>
      </c>
      <c r="S122" s="5" t="s">
        <v>2231</v>
      </c>
      <c r="T122" s="5" t="s">
        <v>2232</v>
      </c>
      <c r="U122" s="5">
        <v>10002</v>
      </c>
      <c r="V122" s="5" t="s">
        <v>3764</v>
      </c>
      <c r="W122" s="5" t="s">
        <v>4341</v>
      </c>
      <c r="AI122" s="468">
        <v>42494</v>
      </c>
      <c r="AJ122" s="5" t="s">
        <v>3626</v>
      </c>
      <c r="AK122" s="5" t="s">
        <v>3625</v>
      </c>
    </row>
    <row r="123" spans="2:37">
      <c r="B123" s="4"/>
      <c r="R123" s="5">
        <v>724</v>
      </c>
      <c r="S123" s="5" t="s">
        <v>2579</v>
      </c>
      <c r="T123" s="5" t="s">
        <v>2580</v>
      </c>
      <c r="U123" s="5">
        <v>10002</v>
      </c>
      <c r="V123" s="5" t="s">
        <v>3764</v>
      </c>
      <c r="W123" s="5" t="s">
        <v>4342</v>
      </c>
      <c r="AI123" s="468">
        <v>42495</v>
      </c>
      <c r="AJ123" s="5" t="s">
        <v>3628</v>
      </c>
      <c r="AK123" s="5" t="s">
        <v>3627</v>
      </c>
    </row>
    <row r="124" spans="2:37">
      <c r="B124" s="4"/>
      <c r="R124" s="5">
        <v>725</v>
      </c>
      <c r="S124" s="5" t="s">
        <v>2099</v>
      </c>
      <c r="T124" s="5" t="s">
        <v>1704</v>
      </c>
      <c r="U124" s="5">
        <v>10012</v>
      </c>
      <c r="V124" s="5" t="s">
        <v>1707</v>
      </c>
      <c r="W124" s="5" t="s">
        <v>4343</v>
      </c>
      <c r="AI124" s="468">
        <v>42496</v>
      </c>
      <c r="AJ124" s="5" t="s">
        <v>3617</v>
      </c>
      <c r="AK124" s="5" t="s">
        <v>3618</v>
      </c>
    </row>
    <row r="125" spans="2:37">
      <c r="B125" s="4" t="s">
        <v>3106</v>
      </c>
      <c r="R125" s="5">
        <v>726</v>
      </c>
      <c r="S125" s="5" t="s">
        <v>2355</v>
      </c>
      <c r="T125" s="5" t="s">
        <v>4052</v>
      </c>
      <c r="U125" s="5">
        <v>999999</v>
      </c>
      <c r="V125" s="5" t="s">
        <v>4014</v>
      </c>
      <c r="AI125" s="468">
        <v>42497</v>
      </c>
      <c r="AJ125" s="5" t="s">
        <v>3619</v>
      </c>
      <c r="AK125" s="5" t="s">
        <v>3622</v>
      </c>
    </row>
    <row r="126" spans="2:37">
      <c r="B126" s="4" t="s">
        <v>1843</v>
      </c>
      <c r="C126" s="5" t="s">
        <v>3105</v>
      </c>
      <c r="R126" s="5">
        <v>727</v>
      </c>
      <c r="S126" s="5" t="s">
        <v>2507</v>
      </c>
      <c r="T126" s="5" t="s">
        <v>4053</v>
      </c>
      <c r="U126" s="5">
        <v>999999</v>
      </c>
      <c r="V126" s="5" t="s">
        <v>4014</v>
      </c>
      <c r="AI126" s="468">
        <v>42498</v>
      </c>
      <c r="AJ126" s="5" t="s">
        <v>3621</v>
      </c>
      <c r="AK126" s="5" t="s">
        <v>3623</v>
      </c>
    </row>
    <row r="127" spans="2:37">
      <c r="B127" s="4" t="s">
        <v>3088</v>
      </c>
      <c r="C127" s="5" t="s">
        <v>3101</v>
      </c>
      <c r="R127" s="5">
        <v>728</v>
      </c>
      <c r="S127" s="5" t="s">
        <v>2132</v>
      </c>
      <c r="T127" s="5" t="s">
        <v>2133</v>
      </c>
      <c r="U127" s="5">
        <v>10071</v>
      </c>
      <c r="V127" s="5" t="s">
        <v>3748</v>
      </c>
      <c r="W127" s="5" t="s">
        <v>4344</v>
      </c>
      <c r="AI127" s="468">
        <v>42499</v>
      </c>
      <c r="AJ127" s="5" t="s">
        <v>3579</v>
      </c>
      <c r="AK127" s="5" t="s">
        <v>3625</v>
      </c>
    </row>
    <row r="128" spans="2:37">
      <c r="B128" s="4" t="s">
        <v>3087</v>
      </c>
      <c r="C128" s="5" t="s">
        <v>1685</v>
      </c>
      <c r="R128" s="5">
        <v>729</v>
      </c>
      <c r="S128" s="5" t="s">
        <v>2615</v>
      </c>
      <c r="T128" s="5" t="s">
        <v>4054</v>
      </c>
      <c r="U128" s="5">
        <v>999999</v>
      </c>
      <c r="V128" s="5" t="s">
        <v>4014</v>
      </c>
      <c r="AI128" s="468">
        <v>42500</v>
      </c>
      <c r="AJ128" s="5" t="s">
        <v>3624</v>
      </c>
      <c r="AK128" s="5" t="s">
        <v>3627</v>
      </c>
    </row>
    <row r="129" spans="2:37">
      <c r="B129" s="4" t="s">
        <v>3086</v>
      </c>
      <c r="C129" s="5" t="s">
        <v>3102</v>
      </c>
      <c r="R129" s="5">
        <v>730</v>
      </c>
      <c r="S129" s="5" t="s">
        <v>1981</v>
      </c>
      <c r="T129" s="5" t="s">
        <v>1741</v>
      </c>
      <c r="U129" s="5">
        <v>10018</v>
      </c>
      <c r="V129" s="5" t="s">
        <v>1743</v>
      </c>
      <c r="W129" s="5" t="s">
        <v>4345</v>
      </c>
      <c r="AI129" s="468">
        <v>42501</v>
      </c>
      <c r="AJ129" s="5" t="s">
        <v>3626</v>
      </c>
      <c r="AK129" s="5" t="s">
        <v>3618</v>
      </c>
    </row>
    <row r="130" spans="2:37">
      <c r="B130" s="4" t="s">
        <v>3084</v>
      </c>
      <c r="C130" s="5" t="s">
        <v>3103</v>
      </c>
      <c r="R130" s="5">
        <v>731</v>
      </c>
      <c r="S130" s="5" t="s">
        <v>2508</v>
      </c>
      <c r="T130" s="5" t="s">
        <v>4055</v>
      </c>
      <c r="U130" s="5">
        <v>999999</v>
      </c>
      <c r="V130" s="5" t="s">
        <v>4014</v>
      </c>
      <c r="AI130" s="468">
        <v>42502</v>
      </c>
      <c r="AJ130" s="5" t="s">
        <v>3628</v>
      </c>
      <c r="AK130" s="5" t="s">
        <v>3620</v>
      </c>
    </row>
    <row r="131" spans="2:37">
      <c r="B131" s="4" t="s">
        <v>3085</v>
      </c>
      <c r="C131" s="5" t="s">
        <v>3104</v>
      </c>
      <c r="R131" s="5">
        <v>732</v>
      </c>
      <c r="S131" s="5" t="s">
        <v>2068</v>
      </c>
      <c r="T131" s="5" t="s">
        <v>2069</v>
      </c>
      <c r="U131" s="5">
        <v>10012</v>
      </c>
      <c r="V131" s="5" t="s">
        <v>1707</v>
      </c>
      <c r="W131" s="5" t="s">
        <v>4346</v>
      </c>
      <c r="AI131" s="468">
        <v>42503</v>
      </c>
      <c r="AJ131" s="5" t="s">
        <v>3617</v>
      </c>
      <c r="AK131" s="5" t="s">
        <v>3622</v>
      </c>
    </row>
    <row r="132" spans="2:37">
      <c r="B132" s="4"/>
      <c r="R132" s="5">
        <v>733</v>
      </c>
      <c r="S132" s="5" t="s">
        <v>2593</v>
      </c>
      <c r="T132" s="5" t="s">
        <v>4056</v>
      </c>
      <c r="U132" s="5">
        <v>999999</v>
      </c>
      <c r="V132" s="5" t="s">
        <v>4014</v>
      </c>
      <c r="AI132" s="468">
        <v>42504</v>
      </c>
      <c r="AJ132" s="5" t="s">
        <v>3619</v>
      </c>
      <c r="AK132" s="5" t="s">
        <v>3623</v>
      </c>
    </row>
    <row r="133" spans="2:37">
      <c r="B133" s="4"/>
      <c r="R133" s="5">
        <v>734</v>
      </c>
      <c r="S133" s="5" t="s">
        <v>2452</v>
      </c>
      <c r="T133" s="5" t="s">
        <v>2453</v>
      </c>
      <c r="U133" s="5">
        <v>10006</v>
      </c>
      <c r="V133" s="5" t="s">
        <v>1787</v>
      </c>
      <c r="W133" s="5" t="s">
        <v>4347</v>
      </c>
      <c r="AI133" s="468">
        <v>42505</v>
      </c>
      <c r="AJ133" s="5" t="s">
        <v>3621</v>
      </c>
      <c r="AK133" s="5" t="s">
        <v>3625</v>
      </c>
    </row>
    <row r="134" spans="2:37">
      <c r="B134" s="4"/>
      <c r="R134" s="5">
        <v>735</v>
      </c>
      <c r="S134" s="5" t="s">
        <v>2374</v>
      </c>
      <c r="T134" s="5" t="s">
        <v>2375</v>
      </c>
      <c r="U134" s="5">
        <v>10006</v>
      </c>
      <c r="V134" s="5" t="s">
        <v>1787</v>
      </c>
      <c r="W134" s="5" t="s">
        <v>4348</v>
      </c>
      <c r="AI134" s="468">
        <v>42506</v>
      </c>
      <c r="AJ134" s="5" t="s">
        <v>3579</v>
      </c>
      <c r="AK134" s="5" t="s">
        <v>3627</v>
      </c>
    </row>
    <row r="135" spans="2:37">
      <c r="B135" s="4" t="s">
        <v>3112</v>
      </c>
      <c r="R135" s="5">
        <v>736</v>
      </c>
      <c r="S135" s="5" t="s">
        <v>2157</v>
      </c>
      <c r="T135" s="5" t="s">
        <v>4057</v>
      </c>
      <c r="U135" s="5">
        <v>999999</v>
      </c>
      <c r="V135" s="5" t="s">
        <v>4014</v>
      </c>
      <c r="AI135" s="468">
        <v>42507</v>
      </c>
      <c r="AJ135" s="5" t="s">
        <v>3624</v>
      </c>
      <c r="AK135" s="5" t="s">
        <v>3618</v>
      </c>
    </row>
    <row r="136" spans="2:37">
      <c r="B136" s="4" t="s">
        <v>1843</v>
      </c>
      <c r="C136" s="5" t="s">
        <v>3111</v>
      </c>
      <c r="R136" s="5">
        <v>737</v>
      </c>
      <c r="S136" s="5" t="s">
        <v>2080</v>
      </c>
      <c r="T136" s="5" t="s">
        <v>2081</v>
      </c>
      <c r="U136" s="5">
        <v>10106</v>
      </c>
      <c r="V136" s="5" t="s">
        <v>3754</v>
      </c>
      <c r="W136" s="5" t="s">
        <v>4349</v>
      </c>
      <c r="AI136" s="468">
        <v>42508</v>
      </c>
      <c r="AJ136" s="5" t="s">
        <v>3626</v>
      </c>
      <c r="AK136" s="5" t="s">
        <v>3620</v>
      </c>
    </row>
    <row r="137" spans="2:37">
      <c r="B137" s="4" t="s">
        <v>3088</v>
      </c>
      <c r="C137" s="5" t="s">
        <v>3107</v>
      </c>
      <c r="R137" s="5">
        <v>738</v>
      </c>
      <c r="S137" s="5" t="s">
        <v>2182</v>
      </c>
      <c r="T137" s="5" t="s">
        <v>4058</v>
      </c>
      <c r="U137" s="5">
        <v>999999</v>
      </c>
      <c r="V137" s="5" t="s">
        <v>4014</v>
      </c>
      <c r="AI137" s="468">
        <v>42509</v>
      </c>
      <c r="AJ137" s="5" t="s">
        <v>3628</v>
      </c>
      <c r="AK137" s="5" t="s">
        <v>3622</v>
      </c>
    </row>
    <row r="138" spans="2:37">
      <c r="B138" s="4" t="s">
        <v>3087</v>
      </c>
      <c r="C138" s="5" t="s">
        <v>3108</v>
      </c>
      <c r="R138" s="5">
        <v>739</v>
      </c>
      <c r="S138" s="5" t="s">
        <v>2386</v>
      </c>
      <c r="T138" s="5" t="s">
        <v>2387</v>
      </c>
      <c r="U138" s="5">
        <v>10102</v>
      </c>
      <c r="V138" s="5" t="s">
        <v>3758</v>
      </c>
      <c r="W138" s="5" t="s">
        <v>4350</v>
      </c>
      <c r="AI138" s="468">
        <v>42510</v>
      </c>
      <c r="AJ138" s="5" t="s">
        <v>3617</v>
      </c>
      <c r="AK138" s="5" t="s">
        <v>3623</v>
      </c>
    </row>
    <row r="139" spans="2:37">
      <c r="B139" s="4" t="s">
        <v>3086</v>
      </c>
      <c r="C139" s="5" t="s">
        <v>3109</v>
      </c>
      <c r="R139" s="5">
        <v>740</v>
      </c>
      <c r="S139" s="5" t="s">
        <v>2569</v>
      </c>
      <c r="T139" s="5" t="s">
        <v>2570</v>
      </c>
      <c r="U139" s="5">
        <v>10012</v>
      </c>
      <c r="V139" s="5" t="s">
        <v>1707</v>
      </c>
      <c r="W139" s="5" t="s">
        <v>4351</v>
      </c>
      <c r="AI139" s="468">
        <v>42511</v>
      </c>
      <c r="AJ139" s="5" t="s">
        <v>3619</v>
      </c>
      <c r="AK139" s="5" t="s">
        <v>3625</v>
      </c>
    </row>
    <row r="140" spans="2:37">
      <c r="B140" s="4" t="s">
        <v>3084</v>
      </c>
      <c r="C140" s="5" t="s">
        <v>3110</v>
      </c>
      <c r="R140" s="5">
        <v>741</v>
      </c>
      <c r="S140" s="5" t="s">
        <v>2235</v>
      </c>
      <c r="T140" s="5" t="s">
        <v>4059</v>
      </c>
      <c r="U140" s="5">
        <v>999999</v>
      </c>
      <c r="V140" s="5" t="s">
        <v>4014</v>
      </c>
      <c r="AI140" s="468">
        <v>42512</v>
      </c>
      <c r="AJ140" s="5" t="s">
        <v>3621</v>
      </c>
      <c r="AK140" s="5" t="s">
        <v>3627</v>
      </c>
    </row>
    <row r="141" spans="2:37">
      <c r="B141" s="4"/>
      <c r="R141" s="5">
        <v>742</v>
      </c>
      <c r="S141" s="5" t="s">
        <v>1955</v>
      </c>
      <c r="T141" s="5" t="s">
        <v>1956</v>
      </c>
      <c r="U141" s="5">
        <v>10002</v>
      </c>
      <c r="V141" s="5" t="s">
        <v>3764</v>
      </c>
      <c r="W141" s="5" t="s">
        <v>4352</v>
      </c>
      <c r="AI141" s="468">
        <v>42513</v>
      </c>
      <c r="AJ141" s="5" t="s">
        <v>3579</v>
      </c>
      <c r="AK141" s="5" t="s">
        <v>3618</v>
      </c>
    </row>
    <row r="142" spans="2:37">
      <c r="B142" s="4"/>
      <c r="R142" s="5">
        <v>743</v>
      </c>
      <c r="S142" s="5" t="s">
        <v>1950</v>
      </c>
      <c r="T142" s="5" t="s">
        <v>1951</v>
      </c>
      <c r="U142" s="5">
        <v>10013</v>
      </c>
      <c r="V142" s="5" t="s">
        <v>1782</v>
      </c>
      <c r="W142" s="5" t="s">
        <v>4353</v>
      </c>
      <c r="AI142" s="468">
        <v>42514</v>
      </c>
      <c r="AJ142" s="5" t="s">
        <v>3624</v>
      </c>
      <c r="AK142" s="5" t="s">
        <v>3620</v>
      </c>
    </row>
    <row r="143" spans="2:37">
      <c r="B143" s="4" t="s">
        <v>3119</v>
      </c>
      <c r="R143" s="5">
        <v>744</v>
      </c>
      <c r="S143" s="5" t="s">
        <v>2458</v>
      </c>
      <c r="T143" s="5" t="s">
        <v>2459</v>
      </c>
      <c r="U143" s="5">
        <v>10013</v>
      </c>
      <c r="V143" s="5" t="s">
        <v>1782</v>
      </c>
      <c r="W143" s="5" t="s">
        <v>4354</v>
      </c>
      <c r="AI143" s="468">
        <v>42515</v>
      </c>
      <c r="AJ143" s="5" t="s">
        <v>3626</v>
      </c>
      <c r="AK143" s="5" t="s">
        <v>3622</v>
      </c>
    </row>
    <row r="144" spans="2:37">
      <c r="B144" s="4" t="s">
        <v>1843</v>
      </c>
      <c r="C144" s="5" t="s">
        <v>3118</v>
      </c>
      <c r="R144" s="5">
        <v>745</v>
      </c>
      <c r="S144" s="5" t="s">
        <v>2358</v>
      </c>
      <c r="T144" s="5" t="s">
        <v>2359</v>
      </c>
      <c r="U144" s="5">
        <v>10013</v>
      </c>
      <c r="V144" s="5" t="s">
        <v>1782</v>
      </c>
      <c r="W144" s="5" t="s">
        <v>4355</v>
      </c>
      <c r="AI144" s="468">
        <v>42516</v>
      </c>
      <c r="AJ144" s="5" t="s">
        <v>3628</v>
      </c>
      <c r="AK144" s="5" t="s">
        <v>3623</v>
      </c>
    </row>
    <row r="145" spans="2:37">
      <c r="B145" s="4" t="s">
        <v>3088</v>
      </c>
      <c r="C145" s="5" t="s">
        <v>3113</v>
      </c>
      <c r="R145" s="5">
        <v>746</v>
      </c>
      <c r="S145" s="5" t="s">
        <v>2084</v>
      </c>
      <c r="T145" s="5" t="s">
        <v>2085</v>
      </c>
      <c r="U145" s="5">
        <v>10014</v>
      </c>
      <c r="V145" s="5" t="s">
        <v>1837</v>
      </c>
      <c r="W145" s="5" t="s">
        <v>4356</v>
      </c>
      <c r="AI145" s="468">
        <v>42517</v>
      </c>
      <c r="AJ145" s="5" t="s">
        <v>3617</v>
      </c>
      <c r="AK145" s="5" t="s">
        <v>3625</v>
      </c>
    </row>
    <row r="146" spans="2:37">
      <c r="B146" s="4" t="s">
        <v>3087</v>
      </c>
      <c r="C146" s="5" t="s">
        <v>3114</v>
      </c>
      <c r="R146" s="5">
        <v>747</v>
      </c>
      <c r="S146" s="5" t="s">
        <v>2611</v>
      </c>
      <c r="T146" s="5" t="s">
        <v>2612</v>
      </c>
      <c r="U146" s="5">
        <v>10013</v>
      </c>
      <c r="V146" s="5" t="s">
        <v>1782</v>
      </c>
      <c r="AI146" s="468">
        <v>42518</v>
      </c>
      <c r="AJ146" s="5" t="s">
        <v>3619</v>
      </c>
      <c r="AK146" s="5" t="s">
        <v>3627</v>
      </c>
    </row>
    <row r="147" spans="2:37">
      <c r="B147" s="4" t="s">
        <v>3086</v>
      </c>
      <c r="C147" s="5" t="s">
        <v>3115</v>
      </c>
      <c r="R147" s="5">
        <v>748</v>
      </c>
      <c r="S147" s="5" t="s">
        <v>2509</v>
      </c>
      <c r="T147" s="5" t="s">
        <v>4060</v>
      </c>
      <c r="U147" s="5">
        <v>999999</v>
      </c>
      <c r="V147" s="5" t="s">
        <v>4014</v>
      </c>
      <c r="AI147" s="468">
        <v>42519</v>
      </c>
      <c r="AJ147" s="5" t="s">
        <v>3621</v>
      </c>
      <c r="AK147" s="5" t="s">
        <v>3618</v>
      </c>
    </row>
    <row r="148" spans="2:37">
      <c r="B148" s="4" t="s">
        <v>3084</v>
      </c>
      <c r="C148" s="5" t="s">
        <v>3116</v>
      </c>
      <c r="R148" s="5">
        <v>749</v>
      </c>
      <c r="S148" s="5" t="s">
        <v>2219</v>
      </c>
      <c r="T148" s="5" t="s">
        <v>2220</v>
      </c>
      <c r="U148" s="5">
        <v>10017</v>
      </c>
      <c r="V148" s="5" t="s">
        <v>3978</v>
      </c>
      <c r="W148" s="5" t="s">
        <v>4357</v>
      </c>
      <c r="AI148" s="468">
        <v>42520</v>
      </c>
      <c r="AJ148" s="5" t="s">
        <v>3579</v>
      </c>
      <c r="AK148" s="5" t="s">
        <v>3620</v>
      </c>
    </row>
    <row r="149" spans="2:37">
      <c r="B149" s="4" t="s">
        <v>3085</v>
      </c>
      <c r="C149" s="5" t="s">
        <v>3117</v>
      </c>
      <c r="R149" s="5">
        <v>750</v>
      </c>
      <c r="S149" s="5" t="s">
        <v>2407</v>
      </c>
      <c r="T149" s="5" t="s">
        <v>2408</v>
      </c>
      <c r="U149" s="5">
        <v>10021</v>
      </c>
      <c r="V149" s="5" t="s">
        <v>1791</v>
      </c>
      <c r="W149" s="5" t="s">
        <v>4358</v>
      </c>
      <c r="AI149" s="468">
        <v>42521</v>
      </c>
      <c r="AJ149" s="5" t="s">
        <v>3624</v>
      </c>
      <c r="AK149" s="5" t="s">
        <v>3622</v>
      </c>
    </row>
    <row r="150" spans="2:37">
      <c r="B150" s="4"/>
      <c r="R150" s="5">
        <v>751</v>
      </c>
      <c r="S150" s="5" t="s">
        <v>2337</v>
      </c>
      <c r="T150" s="5" t="s">
        <v>2338</v>
      </c>
      <c r="U150" s="5">
        <v>10021</v>
      </c>
      <c r="V150" s="5" t="s">
        <v>1791</v>
      </c>
      <c r="W150" s="5" t="s">
        <v>4359</v>
      </c>
      <c r="AI150" s="468">
        <v>42522</v>
      </c>
      <c r="AJ150" s="5" t="s">
        <v>3626</v>
      </c>
      <c r="AK150" s="5" t="s">
        <v>3623</v>
      </c>
    </row>
    <row r="151" spans="2:37">
      <c r="B151" s="4"/>
      <c r="R151" s="5">
        <v>752</v>
      </c>
      <c r="S151" s="5" t="s">
        <v>2485</v>
      </c>
      <c r="T151" s="5" t="s">
        <v>4061</v>
      </c>
      <c r="U151" s="5">
        <v>999999</v>
      </c>
      <c r="V151" s="5" t="s">
        <v>4014</v>
      </c>
      <c r="AI151" s="468">
        <v>42523</v>
      </c>
      <c r="AJ151" s="5" t="s">
        <v>3628</v>
      </c>
      <c r="AK151" s="5" t="s">
        <v>3625</v>
      </c>
    </row>
    <row r="152" spans="2:37">
      <c r="B152" s="4"/>
      <c r="R152" s="5">
        <v>753</v>
      </c>
      <c r="S152" s="5" t="s">
        <v>2489</v>
      </c>
      <c r="T152" s="5" t="s">
        <v>4062</v>
      </c>
      <c r="U152" s="5">
        <v>999999</v>
      </c>
      <c r="V152" s="5" t="s">
        <v>4014</v>
      </c>
      <c r="AI152" s="468">
        <v>42524</v>
      </c>
      <c r="AJ152" s="5" t="s">
        <v>3617</v>
      </c>
      <c r="AK152" s="5" t="s">
        <v>3627</v>
      </c>
    </row>
    <row r="153" spans="2:37">
      <c r="B153" s="4"/>
      <c r="R153" s="5">
        <v>754</v>
      </c>
      <c r="S153" s="5" t="s">
        <v>2592</v>
      </c>
      <c r="T153" s="5" t="s">
        <v>4063</v>
      </c>
      <c r="U153" s="5">
        <v>999999</v>
      </c>
      <c r="V153" s="5" t="s">
        <v>4014</v>
      </c>
      <c r="AI153" s="468">
        <v>42525</v>
      </c>
      <c r="AJ153" s="5" t="s">
        <v>3619</v>
      </c>
      <c r="AK153" s="5" t="s">
        <v>3618</v>
      </c>
    </row>
    <row r="154" spans="2:37">
      <c r="B154" s="4"/>
      <c r="R154" s="5">
        <v>755</v>
      </c>
      <c r="S154" s="5" t="s">
        <v>1948</v>
      </c>
      <c r="T154" s="5" t="s">
        <v>1949</v>
      </c>
      <c r="U154" s="5">
        <v>10021</v>
      </c>
      <c r="V154" s="5" t="s">
        <v>1791</v>
      </c>
      <c r="W154" s="5" t="s">
        <v>4360</v>
      </c>
      <c r="AI154" s="468">
        <v>42526</v>
      </c>
      <c r="AJ154" s="5" t="s">
        <v>3621</v>
      </c>
      <c r="AK154" s="5" t="s">
        <v>3623</v>
      </c>
    </row>
    <row r="155" spans="2:37">
      <c r="R155" s="5">
        <v>756</v>
      </c>
      <c r="S155" s="5" t="s">
        <v>2333</v>
      </c>
      <c r="T155" s="5" t="s">
        <v>2334</v>
      </c>
      <c r="U155" s="5">
        <v>10022</v>
      </c>
      <c r="V155" s="5" t="s">
        <v>1751</v>
      </c>
      <c r="W155" s="5" t="s">
        <v>4361</v>
      </c>
      <c r="AI155" s="468">
        <v>42527</v>
      </c>
      <c r="AJ155" s="5" t="s">
        <v>3579</v>
      </c>
      <c r="AK155" s="5" t="s">
        <v>3625</v>
      </c>
    </row>
    <row r="156" spans="2:37">
      <c r="R156" s="5">
        <v>757</v>
      </c>
      <c r="S156" s="5" t="s">
        <v>2510</v>
      </c>
      <c r="T156" s="5" t="s">
        <v>4064</v>
      </c>
      <c r="U156" s="5">
        <v>999999</v>
      </c>
      <c r="V156" s="5" t="s">
        <v>4014</v>
      </c>
      <c r="AI156" s="468">
        <v>42528</v>
      </c>
      <c r="AJ156" s="5" t="s">
        <v>3624</v>
      </c>
      <c r="AK156" s="5" t="s">
        <v>3627</v>
      </c>
    </row>
    <row r="157" spans="2:37">
      <c r="R157" s="5">
        <v>758</v>
      </c>
      <c r="S157" s="5" t="s">
        <v>2378</v>
      </c>
      <c r="T157" s="5" t="s">
        <v>4065</v>
      </c>
      <c r="U157" s="5">
        <v>999999</v>
      </c>
      <c r="V157" s="5" t="s">
        <v>4014</v>
      </c>
      <c r="AI157" s="468">
        <v>42529</v>
      </c>
      <c r="AJ157" s="5" t="s">
        <v>3626</v>
      </c>
      <c r="AK157" s="5" t="s">
        <v>3618</v>
      </c>
    </row>
    <row r="158" spans="2:37">
      <c r="R158" s="5">
        <v>759</v>
      </c>
      <c r="S158" s="5" t="s">
        <v>2609</v>
      </c>
      <c r="T158" s="5" t="s">
        <v>2610</v>
      </c>
      <c r="U158" s="5">
        <v>10022</v>
      </c>
      <c r="V158" s="5" t="s">
        <v>1751</v>
      </c>
      <c r="W158" s="5" t="s">
        <v>4362</v>
      </c>
      <c r="AI158" s="468">
        <v>42530</v>
      </c>
      <c r="AJ158" s="5" t="s">
        <v>3628</v>
      </c>
      <c r="AK158" s="5" t="s">
        <v>3620</v>
      </c>
    </row>
    <row r="159" spans="2:37">
      <c r="R159" s="5">
        <v>760</v>
      </c>
      <c r="S159" s="5" t="s">
        <v>2007</v>
      </c>
      <c r="T159" s="5" t="s">
        <v>2008</v>
      </c>
      <c r="U159" s="5" t="s">
        <v>3759</v>
      </c>
      <c r="V159" s="5" t="s">
        <v>3760</v>
      </c>
      <c r="W159" s="5" t="s">
        <v>4363</v>
      </c>
      <c r="AI159" s="468">
        <v>42531</v>
      </c>
      <c r="AJ159" s="5" t="s">
        <v>3617</v>
      </c>
      <c r="AK159" s="5" t="s">
        <v>3622</v>
      </c>
    </row>
    <row r="160" spans="2:37">
      <c r="R160" s="5">
        <v>761</v>
      </c>
      <c r="S160" s="5" t="s">
        <v>2153</v>
      </c>
      <c r="T160" s="5" t="s">
        <v>2154</v>
      </c>
      <c r="U160" s="5" t="s">
        <v>3759</v>
      </c>
      <c r="V160" s="5" t="s">
        <v>3760</v>
      </c>
      <c r="W160" s="5" t="s">
        <v>4364</v>
      </c>
      <c r="AI160" s="468">
        <v>42532</v>
      </c>
      <c r="AJ160" s="5" t="s">
        <v>3619</v>
      </c>
      <c r="AK160" s="5" t="s">
        <v>3623</v>
      </c>
    </row>
    <row r="161" spans="18:37">
      <c r="R161" s="5">
        <v>762</v>
      </c>
      <c r="S161" s="5" t="s">
        <v>2171</v>
      </c>
      <c r="T161" s="5" t="s">
        <v>2172</v>
      </c>
      <c r="U161" s="5" t="s">
        <v>3759</v>
      </c>
      <c r="V161" s="5" t="s">
        <v>3760</v>
      </c>
      <c r="W161" s="5" t="s">
        <v>4365</v>
      </c>
      <c r="AI161" s="468">
        <v>42533</v>
      </c>
      <c r="AJ161" s="5" t="s">
        <v>3621</v>
      </c>
      <c r="AK161" s="5" t="s">
        <v>3625</v>
      </c>
    </row>
    <row r="162" spans="18:37">
      <c r="R162" s="5">
        <v>763</v>
      </c>
      <c r="S162" s="5" t="s">
        <v>2401</v>
      </c>
      <c r="T162" s="5" t="s">
        <v>2402</v>
      </c>
      <c r="U162" s="5" t="s">
        <v>3759</v>
      </c>
      <c r="V162" s="5" t="s">
        <v>3760</v>
      </c>
      <c r="W162" s="5" t="s">
        <v>4366</v>
      </c>
      <c r="AI162" s="468">
        <v>42534</v>
      </c>
      <c r="AJ162" s="5" t="s">
        <v>3579</v>
      </c>
      <c r="AK162" s="5" t="s">
        <v>3627</v>
      </c>
    </row>
    <row r="163" spans="18:37">
      <c r="R163" s="5">
        <v>764</v>
      </c>
      <c r="S163" s="5" t="s">
        <v>2236</v>
      </c>
      <c r="T163" s="5" t="s">
        <v>2237</v>
      </c>
      <c r="U163" s="5" t="s">
        <v>3742</v>
      </c>
      <c r="V163" s="5" t="s">
        <v>4012</v>
      </c>
      <c r="W163" s="5" t="s">
        <v>4367</v>
      </c>
      <c r="AI163" s="468">
        <v>42535</v>
      </c>
      <c r="AJ163" s="5" t="s">
        <v>3624</v>
      </c>
      <c r="AK163" s="5" t="s">
        <v>3618</v>
      </c>
    </row>
    <row r="164" spans="18:37">
      <c r="R164" s="5">
        <v>765</v>
      </c>
      <c r="S164" s="5" t="s">
        <v>2478</v>
      </c>
      <c r="T164" s="5" t="s">
        <v>4066</v>
      </c>
      <c r="U164" s="5">
        <v>999999</v>
      </c>
      <c r="V164" s="5" t="s">
        <v>4014</v>
      </c>
      <c r="AI164" s="468">
        <v>42536</v>
      </c>
      <c r="AJ164" s="5" t="s">
        <v>3626</v>
      </c>
      <c r="AK164" s="5" t="s">
        <v>3620</v>
      </c>
    </row>
    <row r="165" spans="18:37">
      <c r="R165" s="5">
        <v>766</v>
      </c>
      <c r="S165" s="5" t="s">
        <v>2409</v>
      </c>
      <c r="T165" s="5" t="s">
        <v>2410</v>
      </c>
      <c r="U165" s="5">
        <v>10041</v>
      </c>
      <c r="V165" s="5" t="s">
        <v>3993</v>
      </c>
      <c r="W165" s="5" t="s">
        <v>4368</v>
      </c>
      <c r="AI165" s="468">
        <v>42537</v>
      </c>
      <c r="AJ165" s="5" t="s">
        <v>3628</v>
      </c>
      <c r="AK165" s="5" t="s">
        <v>3622</v>
      </c>
    </row>
    <row r="166" spans="18:37">
      <c r="R166" s="5">
        <v>767</v>
      </c>
      <c r="S166" s="5" t="s">
        <v>2608</v>
      </c>
      <c r="T166" s="5" t="s">
        <v>4067</v>
      </c>
      <c r="U166" s="5">
        <v>999999</v>
      </c>
      <c r="V166" s="5" t="s">
        <v>4014</v>
      </c>
      <c r="AI166" s="468">
        <v>42538</v>
      </c>
      <c r="AJ166" s="5" t="s">
        <v>3617</v>
      </c>
      <c r="AK166" s="5" t="s">
        <v>3623</v>
      </c>
    </row>
    <row r="167" spans="18:37">
      <c r="R167" s="5">
        <v>768</v>
      </c>
      <c r="S167" s="5" t="s">
        <v>2473</v>
      </c>
      <c r="T167" s="5" t="s">
        <v>4068</v>
      </c>
      <c r="U167" s="5">
        <v>999999</v>
      </c>
      <c r="V167" s="5" t="s">
        <v>4014</v>
      </c>
      <c r="AI167" s="468">
        <v>42539</v>
      </c>
      <c r="AJ167" s="5" t="s">
        <v>3619</v>
      </c>
      <c r="AK167" s="5" t="s">
        <v>3625</v>
      </c>
    </row>
    <row r="168" spans="18:37">
      <c r="R168" s="5">
        <v>769</v>
      </c>
      <c r="S168" s="5" t="s">
        <v>2511</v>
      </c>
      <c r="T168" s="5" t="s">
        <v>4069</v>
      </c>
      <c r="U168" s="5">
        <v>999999</v>
      </c>
      <c r="V168" s="5" t="s">
        <v>4014</v>
      </c>
      <c r="AI168" s="468">
        <v>42540</v>
      </c>
      <c r="AJ168" s="5" t="s">
        <v>3621</v>
      </c>
      <c r="AK168" s="5" t="s">
        <v>3627</v>
      </c>
    </row>
    <row r="169" spans="18:37">
      <c r="R169" s="5">
        <v>770</v>
      </c>
      <c r="S169" s="5" t="s">
        <v>2285</v>
      </c>
      <c r="T169" s="5" t="s">
        <v>2286</v>
      </c>
      <c r="U169" s="5">
        <v>10042</v>
      </c>
      <c r="V169" s="5" t="s">
        <v>3750</v>
      </c>
      <c r="W169" s="5" t="s">
        <v>4369</v>
      </c>
      <c r="AI169" s="468">
        <v>42541</v>
      </c>
      <c r="AJ169" s="5" t="s">
        <v>3579</v>
      </c>
      <c r="AK169" s="5" t="s">
        <v>3618</v>
      </c>
    </row>
    <row r="170" spans="18:37">
      <c r="R170" s="5">
        <v>771</v>
      </c>
      <c r="S170" s="5" t="s">
        <v>2512</v>
      </c>
      <c r="T170" s="5" t="s">
        <v>4070</v>
      </c>
      <c r="U170" s="5">
        <v>999999</v>
      </c>
      <c r="V170" s="5" t="s">
        <v>4014</v>
      </c>
      <c r="AI170" s="468">
        <v>42542</v>
      </c>
      <c r="AJ170" s="5" t="s">
        <v>3624</v>
      </c>
      <c r="AK170" s="5" t="s">
        <v>3620</v>
      </c>
    </row>
    <row r="171" spans="18:37">
      <c r="R171" s="5">
        <v>772</v>
      </c>
      <c r="S171" s="5" t="s">
        <v>2191</v>
      </c>
      <c r="T171" s="5" t="s">
        <v>2192</v>
      </c>
      <c r="U171" s="5">
        <v>10042</v>
      </c>
      <c r="V171" s="5" t="s">
        <v>3750</v>
      </c>
      <c r="W171" s="5" t="s">
        <v>4370</v>
      </c>
      <c r="AI171" s="468">
        <v>42543</v>
      </c>
      <c r="AJ171" s="5" t="s">
        <v>3626</v>
      </c>
      <c r="AK171" s="5" t="s">
        <v>3622</v>
      </c>
    </row>
    <row r="172" spans="18:37">
      <c r="R172" s="5">
        <v>773</v>
      </c>
      <c r="S172" s="5" t="s">
        <v>1997</v>
      </c>
      <c r="T172" s="5" t="s">
        <v>1998</v>
      </c>
      <c r="U172" s="5">
        <v>10016</v>
      </c>
      <c r="V172" s="5" t="s">
        <v>3738</v>
      </c>
      <c r="W172" s="5" t="s">
        <v>4371</v>
      </c>
      <c r="AI172" s="468">
        <v>42544</v>
      </c>
      <c r="AJ172" s="5" t="s">
        <v>3628</v>
      </c>
      <c r="AK172" s="5" t="s">
        <v>3623</v>
      </c>
    </row>
    <row r="173" spans="18:37">
      <c r="R173" s="5">
        <v>774</v>
      </c>
      <c r="S173" s="5" t="s">
        <v>2145</v>
      </c>
      <c r="T173" s="5" t="s">
        <v>2146</v>
      </c>
      <c r="U173" s="5">
        <v>10071</v>
      </c>
      <c r="V173" s="5" t="s">
        <v>3748</v>
      </c>
      <c r="W173" s="5" t="s">
        <v>4372</v>
      </c>
      <c r="AI173" s="468">
        <v>42545</v>
      </c>
      <c r="AJ173" s="5" t="s">
        <v>3617</v>
      </c>
      <c r="AK173" s="5" t="s">
        <v>3625</v>
      </c>
    </row>
    <row r="174" spans="18:37">
      <c r="R174" s="5">
        <v>775</v>
      </c>
      <c r="S174" s="5" t="s">
        <v>2513</v>
      </c>
      <c r="T174" s="5" t="s">
        <v>4071</v>
      </c>
      <c r="U174" s="5">
        <v>999999</v>
      </c>
      <c r="V174" s="5" t="s">
        <v>4014</v>
      </c>
      <c r="AI174" s="468">
        <v>42546</v>
      </c>
      <c r="AJ174" s="5" t="s">
        <v>3619</v>
      </c>
      <c r="AK174" s="5" t="s">
        <v>3627</v>
      </c>
    </row>
    <row r="175" spans="18:37">
      <c r="R175" s="5">
        <v>776</v>
      </c>
      <c r="S175" s="5" t="s">
        <v>2136</v>
      </c>
      <c r="T175" s="5" t="s">
        <v>2137</v>
      </c>
      <c r="U175" s="5">
        <v>10071</v>
      </c>
      <c r="V175" s="5" t="s">
        <v>3748</v>
      </c>
      <c r="W175" s="5" t="s">
        <v>4373</v>
      </c>
      <c r="AI175" s="468">
        <v>42547</v>
      </c>
      <c r="AJ175" s="5" t="s">
        <v>3621</v>
      </c>
      <c r="AK175" s="5" t="s">
        <v>3618</v>
      </c>
    </row>
    <row r="176" spans="18:37">
      <c r="R176" s="5">
        <v>777</v>
      </c>
      <c r="S176" s="5" t="s">
        <v>2364</v>
      </c>
      <c r="T176" s="5" t="s">
        <v>2365</v>
      </c>
      <c r="U176" s="5">
        <v>10071</v>
      </c>
      <c r="V176" s="5" t="s">
        <v>3748</v>
      </c>
      <c r="W176" s="5" t="s">
        <v>4374</v>
      </c>
      <c r="AI176" s="468">
        <v>42548</v>
      </c>
      <c r="AJ176" s="5" t="s">
        <v>3579</v>
      </c>
      <c r="AK176" s="5" t="s">
        <v>3620</v>
      </c>
    </row>
    <row r="177" spans="18:37">
      <c r="R177" s="5">
        <v>778</v>
      </c>
      <c r="S177" s="5" t="s">
        <v>2366</v>
      </c>
      <c r="T177" s="5" t="s">
        <v>2367</v>
      </c>
      <c r="U177" s="5">
        <v>10071</v>
      </c>
      <c r="V177" s="5" t="s">
        <v>3748</v>
      </c>
      <c r="W177" s="5" t="s">
        <v>4375</v>
      </c>
      <c r="AI177" s="468">
        <v>42549</v>
      </c>
      <c r="AJ177" s="5" t="s">
        <v>3624</v>
      </c>
      <c r="AK177" s="5" t="s">
        <v>3622</v>
      </c>
    </row>
    <row r="178" spans="18:37">
      <c r="R178" s="5">
        <v>779</v>
      </c>
      <c r="S178" s="5" t="s">
        <v>2514</v>
      </c>
      <c r="T178" s="5" t="s">
        <v>4072</v>
      </c>
      <c r="U178" s="5">
        <v>999999</v>
      </c>
      <c r="V178" s="5" t="s">
        <v>4014</v>
      </c>
      <c r="AI178" s="468">
        <v>42550</v>
      </c>
      <c r="AJ178" s="5" t="s">
        <v>3626</v>
      </c>
      <c r="AK178" s="5" t="s">
        <v>3623</v>
      </c>
    </row>
    <row r="179" spans="18:37">
      <c r="R179" s="5">
        <v>780</v>
      </c>
      <c r="S179" s="5" t="s">
        <v>2110</v>
      </c>
      <c r="T179" s="5" t="s">
        <v>2111</v>
      </c>
      <c r="U179" s="5">
        <v>10071</v>
      </c>
      <c r="V179" s="5" t="s">
        <v>3748</v>
      </c>
      <c r="W179" s="5" t="s">
        <v>4376</v>
      </c>
      <c r="AI179" s="468">
        <v>42551</v>
      </c>
      <c r="AJ179" s="5" t="s">
        <v>3628</v>
      </c>
      <c r="AK179" s="5" t="s">
        <v>3625</v>
      </c>
    </row>
    <row r="180" spans="18:37">
      <c r="R180" s="5">
        <v>781</v>
      </c>
      <c r="S180" s="5" t="s">
        <v>2515</v>
      </c>
      <c r="T180" s="5" t="s">
        <v>4073</v>
      </c>
      <c r="U180" s="5">
        <v>999999</v>
      </c>
      <c r="V180" s="5" t="s">
        <v>4014</v>
      </c>
      <c r="AI180" s="468">
        <v>42552</v>
      </c>
      <c r="AJ180" s="5" t="s">
        <v>3617</v>
      </c>
      <c r="AK180" s="5" t="s">
        <v>3627</v>
      </c>
    </row>
    <row r="181" spans="18:37">
      <c r="R181" s="5">
        <v>782</v>
      </c>
      <c r="S181" s="5" t="s">
        <v>2516</v>
      </c>
      <c r="T181" s="5" t="s">
        <v>4074</v>
      </c>
      <c r="U181" s="5">
        <v>999999</v>
      </c>
      <c r="V181" s="5" t="s">
        <v>4014</v>
      </c>
      <c r="AI181" s="468">
        <v>42553</v>
      </c>
      <c r="AJ181" s="5" t="s">
        <v>3619</v>
      </c>
      <c r="AK181" s="5" t="s">
        <v>3618</v>
      </c>
    </row>
    <row r="182" spans="18:37">
      <c r="R182" s="5">
        <v>783</v>
      </c>
      <c r="S182" s="5" t="s">
        <v>2138</v>
      </c>
      <c r="T182" s="5" t="s">
        <v>2139</v>
      </c>
      <c r="U182" s="5">
        <v>10073</v>
      </c>
      <c r="V182" s="5" t="s">
        <v>3747</v>
      </c>
      <c r="W182" s="5" t="s">
        <v>4377</v>
      </c>
      <c r="AI182" s="468">
        <v>42554</v>
      </c>
      <c r="AJ182" s="5" t="s">
        <v>3621</v>
      </c>
      <c r="AK182" s="5" t="s">
        <v>3620</v>
      </c>
    </row>
    <row r="183" spans="18:37">
      <c r="R183" s="5">
        <v>784</v>
      </c>
      <c r="S183" s="5" t="s">
        <v>2487</v>
      </c>
      <c r="T183" s="5" t="s">
        <v>4075</v>
      </c>
      <c r="U183" s="5">
        <v>999999</v>
      </c>
      <c r="V183" s="5" t="s">
        <v>4014</v>
      </c>
      <c r="AI183" s="468">
        <v>42555</v>
      </c>
      <c r="AJ183" s="5" t="s">
        <v>3579</v>
      </c>
      <c r="AK183" s="5" t="s">
        <v>3625</v>
      </c>
    </row>
    <row r="184" spans="18:37">
      <c r="R184" s="5">
        <v>785</v>
      </c>
      <c r="S184" s="5" t="s">
        <v>2020</v>
      </c>
      <c r="T184" s="5" t="s">
        <v>2021</v>
      </c>
      <c r="U184" s="5">
        <v>10100</v>
      </c>
      <c r="V184" s="5" t="s">
        <v>3740</v>
      </c>
      <c r="W184" s="5" t="s">
        <v>4378</v>
      </c>
      <c r="AI184" s="468">
        <v>42556</v>
      </c>
      <c r="AJ184" s="5" t="s">
        <v>3624</v>
      </c>
      <c r="AK184" s="5" t="s">
        <v>3627</v>
      </c>
    </row>
    <row r="185" spans="18:37">
      <c r="R185" s="5">
        <v>786</v>
      </c>
      <c r="S185" s="5" t="s">
        <v>1925</v>
      </c>
      <c r="T185" s="5" t="s">
        <v>1926</v>
      </c>
      <c r="U185" s="5">
        <v>10100</v>
      </c>
      <c r="V185" s="5" t="s">
        <v>3740</v>
      </c>
      <c r="W185" s="5" t="s">
        <v>4379</v>
      </c>
      <c r="AI185" s="468">
        <v>42557</v>
      </c>
      <c r="AJ185" s="5" t="s">
        <v>3626</v>
      </c>
      <c r="AK185" s="5" t="s">
        <v>3618</v>
      </c>
    </row>
    <row r="186" spans="18:37">
      <c r="R186" s="5">
        <v>787</v>
      </c>
      <c r="S186" s="5" t="s">
        <v>2613</v>
      </c>
      <c r="T186" s="5" t="s">
        <v>2614</v>
      </c>
      <c r="U186" s="5">
        <v>10100</v>
      </c>
      <c r="V186" s="5" t="s">
        <v>3740</v>
      </c>
      <c r="W186" s="5" t="s">
        <v>4380</v>
      </c>
      <c r="AI186" s="468">
        <v>42558</v>
      </c>
      <c r="AJ186" s="5" t="s">
        <v>3628</v>
      </c>
      <c r="AK186" s="5" t="s">
        <v>3620</v>
      </c>
    </row>
    <row r="187" spans="18:37">
      <c r="R187" s="5">
        <v>788</v>
      </c>
      <c r="S187" s="5" t="s">
        <v>2517</v>
      </c>
      <c r="T187" s="5" t="s">
        <v>4076</v>
      </c>
      <c r="U187" s="5">
        <v>999999</v>
      </c>
      <c r="V187" s="5" t="s">
        <v>4014</v>
      </c>
      <c r="AI187" s="468">
        <v>42559</v>
      </c>
      <c r="AJ187" s="5" t="s">
        <v>3617</v>
      </c>
      <c r="AK187" s="5" t="s">
        <v>3622</v>
      </c>
    </row>
    <row r="188" spans="18:37">
      <c r="R188" s="5">
        <v>789</v>
      </c>
      <c r="S188" s="5" t="s">
        <v>2346</v>
      </c>
      <c r="T188" s="5" t="s">
        <v>2347</v>
      </c>
      <c r="U188" s="5">
        <v>10104</v>
      </c>
      <c r="V188" s="5" t="s">
        <v>3980</v>
      </c>
      <c r="W188" s="5" t="s">
        <v>4381</v>
      </c>
      <c r="AI188" s="468">
        <v>42560</v>
      </c>
      <c r="AJ188" s="5" t="s">
        <v>3619</v>
      </c>
      <c r="AK188" s="5" t="s">
        <v>3623</v>
      </c>
    </row>
    <row r="189" spans="18:37">
      <c r="R189" s="5">
        <v>790</v>
      </c>
      <c r="S189" s="5" t="s">
        <v>2213</v>
      </c>
      <c r="T189" s="5" t="s">
        <v>2214</v>
      </c>
      <c r="U189" s="5">
        <v>10104</v>
      </c>
      <c r="V189" s="5" t="s">
        <v>3980</v>
      </c>
      <c r="W189" s="5" t="s">
        <v>4382</v>
      </c>
      <c r="AI189" s="468">
        <v>42561</v>
      </c>
      <c r="AJ189" s="5" t="s">
        <v>3621</v>
      </c>
      <c r="AK189" s="5" t="s">
        <v>3625</v>
      </c>
    </row>
    <row r="190" spans="18:37">
      <c r="R190" s="5">
        <v>791</v>
      </c>
      <c r="S190" s="5" t="s">
        <v>2518</v>
      </c>
      <c r="T190" s="5" t="s">
        <v>4077</v>
      </c>
      <c r="U190" s="5">
        <v>999999</v>
      </c>
      <c r="V190" s="5" t="s">
        <v>4014</v>
      </c>
      <c r="AI190" s="468">
        <v>42562</v>
      </c>
      <c r="AJ190" s="5" t="s">
        <v>3579</v>
      </c>
      <c r="AK190" s="5" t="s">
        <v>3627</v>
      </c>
    </row>
    <row r="191" spans="18:37">
      <c r="R191" s="5">
        <v>792</v>
      </c>
      <c r="S191" s="5" t="s">
        <v>2193</v>
      </c>
      <c r="T191" s="5" t="s">
        <v>2194</v>
      </c>
      <c r="U191" s="5">
        <v>10023</v>
      </c>
      <c r="V191" s="5" t="s">
        <v>4009</v>
      </c>
      <c r="W191" s="5" t="s">
        <v>4383</v>
      </c>
      <c r="AI191" s="468">
        <v>42563</v>
      </c>
      <c r="AJ191" s="5" t="s">
        <v>3624</v>
      </c>
      <c r="AK191" s="5" t="s">
        <v>3618</v>
      </c>
    </row>
    <row r="192" spans="18:37">
      <c r="R192" s="5">
        <v>793</v>
      </c>
      <c r="S192" s="5" t="s">
        <v>1931</v>
      </c>
      <c r="T192" s="5" t="s">
        <v>1932</v>
      </c>
      <c r="U192" s="5">
        <v>10105</v>
      </c>
      <c r="V192" s="5" t="s">
        <v>3755</v>
      </c>
      <c r="W192" s="5" t="s">
        <v>4384</v>
      </c>
      <c r="AI192" s="468">
        <v>42564</v>
      </c>
      <c r="AJ192" s="5" t="s">
        <v>3626</v>
      </c>
      <c r="AK192" s="5" t="s">
        <v>3620</v>
      </c>
    </row>
    <row r="193" spans="18:37">
      <c r="R193" s="5">
        <v>794</v>
      </c>
      <c r="S193" s="5" t="s">
        <v>2144</v>
      </c>
      <c r="T193" s="5" t="s">
        <v>4078</v>
      </c>
      <c r="U193" s="5">
        <v>999999</v>
      </c>
      <c r="V193" s="5" t="s">
        <v>4014</v>
      </c>
      <c r="AI193" s="468">
        <v>42565</v>
      </c>
      <c r="AJ193" s="5" t="s">
        <v>3628</v>
      </c>
      <c r="AK193" s="5" t="s">
        <v>3622</v>
      </c>
    </row>
    <row r="194" spans="18:37">
      <c r="R194" s="5">
        <v>795</v>
      </c>
      <c r="S194" s="5" t="s">
        <v>2112</v>
      </c>
      <c r="T194" s="5" t="s">
        <v>4079</v>
      </c>
      <c r="U194" s="5">
        <v>999999</v>
      </c>
      <c r="V194" s="5" t="s">
        <v>4014</v>
      </c>
      <c r="AI194" s="468">
        <v>42566</v>
      </c>
      <c r="AJ194" s="5" t="s">
        <v>3617</v>
      </c>
      <c r="AK194" s="5" t="s">
        <v>3623</v>
      </c>
    </row>
    <row r="195" spans="18:37">
      <c r="R195" s="5">
        <v>796</v>
      </c>
      <c r="S195" s="5" t="s">
        <v>2439</v>
      </c>
      <c r="T195" s="5" t="s">
        <v>2440</v>
      </c>
      <c r="U195" s="5">
        <v>10105</v>
      </c>
      <c r="V195" s="5" t="s">
        <v>3755</v>
      </c>
      <c r="W195" s="5" t="s">
        <v>4385</v>
      </c>
      <c r="AI195" s="468">
        <v>42567</v>
      </c>
      <c r="AJ195" s="5" t="s">
        <v>3619</v>
      </c>
      <c r="AK195" s="5" t="s">
        <v>3625</v>
      </c>
    </row>
    <row r="196" spans="18:37">
      <c r="R196" s="5">
        <v>797</v>
      </c>
      <c r="S196" s="5" t="s">
        <v>2519</v>
      </c>
      <c r="T196" s="5" t="s">
        <v>4080</v>
      </c>
      <c r="U196" s="5">
        <v>999999</v>
      </c>
      <c r="V196" s="5" t="s">
        <v>4014</v>
      </c>
      <c r="AI196" s="468">
        <v>42568</v>
      </c>
      <c r="AJ196" s="5" t="s">
        <v>3621</v>
      </c>
      <c r="AK196" s="5" t="s">
        <v>3627</v>
      </c>
    </row>
    <row r="197" spans="18:37">
      <c r="R197" s="5">
        <v>798</v>
      </c>
      <c r="S197" s="5" t="s">
        <v>2253</v>
      </c>
      <c r="T197" s="5" t="s">
        <v>4081</v>
      </c>
      <c r="U197" s="5">
        <v>999999</v>
      </c>
      <c r="V197" s="5" t="s">
        <v>4014</v>
      </c>
      <c r="AI197" s="468">
        <v>42569</v>
      </c>
      <c r="AJ197" s="5" t="s">
        <v>3579</v>
      </c>
      <c r="AK197" s="5" t="s">
        <v>3618</v>
      </c>
    </row>
    <row r="198" spans="18:37">
      <c r="R198" s="5">
        <v>799</v>
      </c>
      <c r="S198" s="5" t="s">
        <v>2128</v>
      </c>
      <c r="T198" s="5" t="s">
        <v>2129</v>
      </c>
      <c r="U198" s="5">
        <v>40034</v>
      </c>
      <c r="V198" s="5" t="s">
        <v>4007</v>
      </c>
      <c r="W198" s="5" t="s">
        <v>4386</v>
      </c>
      <c r="AI198" s="468">
        <v>42570</v>
      </c>
      <c r="AJ198" s="5" t="s">
        <v>3624</v>
      </c>
      <c r="AK198" s="5" t="s">
        <v>3620</v>
      </c>
    </row>
    <row r="199" spans="18:37">
      <c r="R199" s="5">
        <v>800</v>
      </c>
      <c r="S199" s="5" t="s">
        <v>2168</v>
      </c>
      <c r="T199" s="5" t="s">
        <v>4082</v>
      </c>
      <c r="U199" s="5">
        <v>999999</v>
      </c>
      <c r="V199" s="5" t="s">
        <v>4014</v>
      </c>
      <c r="AI199" s="468">
        <v>42571</v>
      </c>
      <c r="AJ199" s="5" t="s">
        <v>3626</v>
      </c>
      <c r="AK199" s="5" t="s">
        <v>3622</v>
      </c>
    </row>
    <row r="200" spans="18:37">
      <c r="R200" s="5">
        <v>801</v>
      </c>
      <c r="S200" s="5" t="s">
        <v>2520</v>
      </c>
      <c r="T200" s="5" t="s">
        <v>4083</v>
      </c>
      <c r="U200" s="5">
        <v>999999</v>
      </c>
      <c r="V200" s="5" t="s">
        <v>4014</v>
      </c>
      <c r="AI200" s="468">
        <v>42572</v>
      </c>
      <c r="AJ200" s="5" t="s">
        <v>3628</v>
      </c>
      <c r="AK200" s="5" t="s">
        <v>3623</v>
      </c>
    </row>
    <row r="201" spans="18:37">
      <c r="R201" s="5">
        <v>802</v>
      </c>
      <c r="S201" s="5" t="s">
        <v>2578</v>
      </c>
      <c r="T201" s="5" t="s">
        <v>4084</v>
      </c>
      <c r="U201" s="5">
        <v>999999</v>
      </c>
      <c r="V201" s="5" t="s">
        <v>4014</v>
      </c>
      <c r="AI201" s="468">
        <v>42573</v>
      </c>
      <c r="AJ201" s="5" t="s">
        <v>3617</v>
      </c>
      <c r="AK201" s="5" t="s">
        <v>3625</v>
      </c>
    </row>
    <row r="202" spans="18:37">
      <c r="R202" s="5">
        <v>803</v>
      </c>
      <c r="S202" s="5" t="s">
        <v>2013</v>
      </c>
      <c r="T202" s="5" t="s">
        <v>2014</v>
      </c>
      <c r="U202" s="5">
        <v>10107</v>
      </c>
      <c r="V202" s="5" t="s">
        <v>3753</v>
      </c>
      <c r="W202" s="5" t="s">
        <v>4387</v>
      </c>
      <c r="AI202" s="468">
        <v>42574</v>
      </c>
      <c r="AJ202" s="5" t="s">
        <v>3619</v>
      </c>
      <c r="AK202" s="5" t="s">
        <v>3627</v>
      </c>
    </row>
    <row r="203" spans="18:37">
      <c r="R203" s="5">
        <v>804</v>
      </c>
      <c r="S203" s="5" t="s">
        <v>2257</v>
      </c>
      <c r="T203" s="5" t="s">
        <v>4085</v>
      </c>
      <c r="U203" s="5">
        <v>999999</v>
      </c>
      <c r="V203" s="5" t="s">
        <v>4014</v>
      </c>
      <c r="AI203" s="468">
        <v>42575</v>
      </c>
      <c r="AJ203" s="5" t="s">
        <v>3621</v>
      </c>
      <c r="AK203" s="5" t="s">
        <v>3618</v>
      </c>
    </row>
    <row r="204" spans="18:37">
      <c r="R204" s="5">
        <v>805</v>
      </c>
      <c r="S204" s="5" t="s">
        <v>2493</v>
      </c>
      <c r="T204" s="5" t="s">
        <v>4086</v>
      </c>
      <c r="U204" s="5">
        <v>999999</v>
      </c>
      <c r="V204" s="5" t="s">
        <v>4014</v>
      </c>
      <c r="AI204" s="468">
        <v>42576</v>
      </c>
      <c r="AJ204" s="5" t="s">
        <v>3579</v>
      </c>
      <c r="AK204" s="5" t="s">
        <v>3620</v>
      </c>
    </row>
    <row r="205" spans="18:37">
      <c r="R205" s="5">
        <v>806</v>
      </c>
      <c r="S205" s="5" t="s">
        <v>2423</v>
      </c>
      <c r="T205" s="5" t="s">
        <v>2424</v>
      </c>
      <c r="U205" s="5">
        <v>10108</v>
      </c>
      <c r="V205" s="5" t="s">
        <v>3981</v>
      </c>
      <c r="W205" s="5" t="s">
        <v>4388</v>
      </c>
      <c r="AI205" s="468">
        <v>42577</v>
      </c>
      <c r="AJ205" s="5" t="s">
        <v>3624</v>
      </c>
      <c r="AK205" s="5" t="s">
        <v>3622</v>
      </c>
    </row>
    <row r="206" spans="18:37">
      <c r="R206" s="5">
        <v>807</v>
      </c>
      <c r="S206" s="5" t="s">
        <v>2108</v>
      </c>
      <c r="T206" s="5" t="s">
        <v>2109</v>
      </c>
      <c r="U206" s="5">
        <v>10108</v>
      </c>
      <c r="V206" s="5" t="s">
        <v>3981</v>
      </c>
      <c r="W206" s="5" t="s">
        <v>4389</v>
      </c>
      <c r="AI206" s="468">
        <v>42578</v>
      </c>
      <c r="AJ206" s="5" t="s">
        <v>3626</v>
      </c>
      <c r="AK206" s="5" t="s">
        <v>3623</v>
      </c>
    </row>
    <row r="207" spans="18:37">
      <c r="R207" s="5">
        <v>808</v>
      </c>
      <c r="S207" s="5" t="s">
        <v>2027</v>
      </c>
      <c r="T207" s="5" t="s">
        <v>2028</v>
      </c>
      <c r="U207" s="5">
        <v>20023</v>
      </c>
      <c r="V207" s="5" t="s">
        <v>3990</v>
      </c>
      <c r="W207" s="5" t="s">
        <v>4390</v>
      </c>
      <c r="AI207" s="468">
        <v>42579</v>
      </c>
      <c r="AJ207" s="5" t="s">
        <v>3628</v>
      </c>
      <c r="AK207" s="5" t="s">
        <v>3625</v>
      </c>
    </row>
    <row r="208" spans="18:37">
      <c r="R208" s="5">
        <v>809</v>
      </c>
      <c r="S208" s="5" t="s">
        <v>2259</v>
      </c>
      <c r="T208" s="5" t="s">
        <v>4087</v>
      </c>
      <c r="U208" s="5">
        <v>999999</v>
      </c>
      <c r="V208" s="5" t="s">
        <v>4014</v>
      </c>
      <c r="AI208" s="468">
        <v>42580</v>
      </c>
      <c r="AJ208" s="5" t="s">
        <v>3617</v>
      </c>
      <c r="AK208" s="5" t="s">
        <v>3627</v>
      </c>
    </row>
    <row r="209" spans="18:37">
      <c r="R209" s="5">
        <v>810</v>
      </c>
      <c r="S209" s="5" t="s">
        <v>2024</v>
      </c>
      <c r="T209" s="5" t="s">
        <v>2025</v>
      </c>
      <c r="U209" s="5">
        <v>10108</v>
      </c>
      <c r="V209" s="5" t="s">
        <v>3981</v>
      </c>
      <c r="W209" s="5" t="s">
        <v>4391</v>
      </c>
      <c r="AI209" s="468">
        <v>42581</v>
      </c>
      <c r="AJ209" s="5" t="s">
        <v>3619</v>
      </c>
      <c r="AK209" s="5" t="s">
        <v>3618</v>
      </c>
    </row>
    <row r="210" spans="18:37">
      <c r="R210" s="5">
        <v>811</v>
      </c>
      <c r="S210" s="5" t="s">
        <v>2434</v>
      </c>
      <c r="T210" s="5" t="s">
        <v>2435</v>
      </c>
      <c r="U210" s="5">
        <v>10109</v>
      </c>
      <c r="V210" s="5" t="s">
        <v>3982</v>
      </c>
      <c r="W210" s="5" t="s">
        <v>4392</v>
      </c>
      <c r="AI210" s="468">
        <v>42582</v>
      </c>
      <c r="AJ210" s="5" t="s">
        <v>3621</v>
      </c>
      <c r="AK210" s="5" t="s">
        <v>3620</v>
      </c>
    </row>
    <row r="211" spans="18:37">
      <c r="R211" s="5">
        <v>812</v>
      </c>
      <c r="S211" s="5" t="s">
        <v>2362</v>
      </c>
      <c r="T211" s="5" t="s">
        <v>2363</v>
      </c>
      <c r="U211" s="5">
        <v>10109</v>
      </c>
      <c r="V211" s="5" t="s">
        <v>3982</v>
      </c>
      <c r="W211" s="5" t="s">
        <v>4393</v>
      </c>
      <c r="AI211" s="468">
        <v>42583</v>
      </c>
      <c r="AJ211" s="5" t="s">
        <v>3579</v>
      </c>
      <c r="AK211" s="5" t="s">
        <v>3622</v>
      </c>
    </row>
    <row r="212" spans="18:37">
      <c r="R212" s="5">
        <v>813</v>
      </c>
      <c r="S212" s="5" t="s">
        <v>2038</v>
      </c>
      <c r="T212" s="5" t="s">
        <v>4088</v>
      </c>
      <c r="U212" s="5">
        <v>999999</v>
      </c>
      <c r="V212" s="5" t="s">
        <v>4014</v>
      </c>
      <c r="AI212" s="468">
        <v>42584</v>
      </c>
      <c r="AJ212" s="5" t="s">
        <v>3624</v>
      </c>
      <c r="AK212" s="5" t="s">
        <v>3623</v>
      </c>
    </row>
    <row r="213" spans="18:37">
      <c r="R213" s="5">
        <v>814</v>
      </c>
      <c r="S213" s="5" t="s">
        <v>2521</v>
      </c>
      <c r="T213" s="5" t="s">
        <v>4089</v>
      </c>
      <c r="U213" s="5">
        <v>999999</v>
      </c>
      <c r="V213" s="5" t="s">
        <v>4014</v>
      </c>
      <c r="AI213" s="468">
        <v>42585</v>
      </c>
      <c r="AJ213" s="5" t="s">
        <v>3626</v>
      </c>
      <c r="AK213" s="5" t="s">
        <v>3627</v>
      </c>
    </row>
    <row r="214" spans="18:37">
      <c r="R214" s="5">
        <v>815</v>
      </c>
      <c r="S214" s="5" t="s">
        <v>2062</v>
      </c>
      <c r="T214" s="5" t="s">
        <v>2063</v>
      </c>
      <c r="U214" s="5">
        <v>10002</v>
      </c>
      <c r="V214" s="5" t="s">
        <v>3764</v>
      </c>
      <c r="W214" s="5" t="s">
        <v>4394</v>
      </c>
      <c r="AI214" s="468">
        <v>42586</v>
      </c>
      <c r="AJ214" s="5" t="s">
        <v>3628</v>
      </c>
      <c r="AK214" s="5" t="s">
        <v>3618</v>
      </c>
    </row>
    <row r="215" spans="18:37">
      <c r="R215" s="5">
        <v>816</v>
      </c>
      <c r="S215" s="5" t="s">
        <v>2250</v>
      </c>
      <c r="T215" s="5" t="s">
        <v>4090</v>
      </c>
      <c r="U215" s="5">
        <v>999999</v>
      </c>
      <c r="V215" s="5" t="s">
        <v>4014</v>
      </c>
      <c r="AI215" s="468">
        <v>42587</v>
      </c>
      <c r="AJ215" s="5" t="s">
        <v>3617</v>
      </c>
      <c r="AK215" s="5" t="s">
        <v>3620</v>
      </c>
    </row>
    <row r="216" spans="18:37">
      <c r="R216" s="5">
        <v>817</v>
      </c>
      <c r="S216" s="5" t="s">
        <v>2370</v>
      </c>
      <c r="T216" s="5" t="s">
        <v>2371</v>
      </c>
      <c r="U216" s="5">
        <v>10110</v>
      </c>
      <c r="V216" s="5" t="s">
        <v>3983</v>
      </c>
      <c r="W216" s="5" t="s">
        <v>4395</v>
      </c>
      <c r="AI216" s="468">
        <v>42588</v>
      </c>
      <c r="AJ216" s="5" t="s">
        <v>3619</v>
      </c>
      <c r="AK216" s="5" t="s">
        <v>3622</v>
      </c>
    </row>
    <row r="217" spans="18:37">
      <c r="R217" s="5">
        <v>818</v>
      </c>
      <c r="S217" s="5" t="s">
        <v>2261</v>
      </c>
      <c r="T217" s="5" t="s">
        <v>4091</v>
      </c>
      <c r="U217" s="5">
        <v>999999</v>
      </c>
      <c r="V217" s="5" t="s">
        <v>4014</v>
      </c>
      <c r="AI217" s="468">
        <v>42589</v>
      </c>
      <c r="AJ217" s="5" t="s">
        <v>3621</v>
      </c>
      <c r="AK217" s="5" t="s">
        <v>3623</v>
      </c>
    </row>
    <row r="218" spans="18:37">
      <c r="R218" s="5">
        <v>819</v>
      </c>
      <c r="S218" s="5" t="s">
        <v>2199</v>
      </c>
      <c r="T218" s="5" t="s">
        <v>2200</v>
      </c>
      <c r="U218" s="5">
        <v>10110</v>
      </c>
      <c r="V218" s="5" t="s">
        <v>3983</v>
      </c>
      <c r="W218" s="5" t="s">
        <v>4396</v>
      </c>
      <c r="AI218" s="468">
        <v>42590</v>
      </c>
      <c r="AJ218" s="5" t="s">
        <v>3579</v>
      </c>
      <c r="AK218" s="5" t="s">
        <v>3625</v>
      </c>
    </row>
    <row r="219" spans="18:37">
      <c r="R219" s="5">
        <v>820</v>
      </c>
      <c r="S219" s="5" t="s">
        <v>2260</v>
      </c>
      <c r="T219" s="5" t="s">
        <v>4092</v>
      </c>
      <c r="U219" s="5">
        <v>999999</v>
      </c>
      <c r="V219" s="5" t="s">
        <v>4014</v>
      </c>
      <c r="AI219" s="468">
        <v>42591</v>
      </c>
      <c r="AJ219" s="5" t="s">
        <v>3624</v>
      </c>
      <c r="AK219" s="5" t="s">
        <v>3627</v>
      </c>
    </row>
    <row r="220" spans="18:37">
      <c r="R220" s="5">
        <v>821</v>
      </c>
      <c r="S220" s="5" t="s">
        <v>2522</v>
      </c>
      <c r="T220" s="5" t="s">
        <v>4093</v>
      </c>
      <c r="U220" s="5">
        <v>999999</v>
      </c>
      <c r="V220" s="5" t="s">
        <v>4014</v>
      </c>
      <c r="AI220" s="468">
        <v>42592</v>
      </c>
      <c r="AJ220" s="5" t="s">
        <v>3626</v>
      </c>
      <c r="AK220" s="5" t="s">
        <v>3618</v>
      </c>
    </row>
    <row r="221" spans="18:37">
      <c r="R221" s="5">
        <v>822</v>
      </c>
      <c r="S221" s="5" t="s">
        <v>2384</v>
      </c>
      <c r="T221" s="5" t="s">
        <v>2385</v>
      </c>
      <c r="U221" s="5">
        <v>10111</v>
      </c>
      <c r="V221" s="5" t="s">
        <v>3984</v>
      </c>
      <c r="W221" s="5" t="s">
        <v>4397</v>
      </c>
      <c r="AI221" s="468">
        <v>42593</v>
      </c>
      <c r="AJ221" s="5" t="s">
        <v>3628</v>
      </c>
      <c r="AK221" s="5" t="s">
        <v>3620</v>
      </c>
    </row>
    <row r="222" spans="18:37">
      <c r="R222" s="5">
        <v>823</v>
      </c>
      <c r="S222" s="5" t="s">
        <v>2273</v>
      </c>
      <c r="T222" s="5" t="s">
        <v>2274</v>
      </c>
      <c r="U222" s="5">
        <v>10111</v>
      </c>
      <c r="V222" s="5" t="s">
        <v>3984</v>
      </c>
      <c r="W222" s="5" t="s">
        <v>4398</v>
      </c>
      <c r="AI222" s="468">
        <v>42594</v>
      </c>
      <c r="AJ222" s="5" t="s">
        <v>3617</v>
      </c>
      <c r="AK222" s="5" t="s">
        <v>3622</v>
      </c>
    </row>
    <row r="223" spans="18:37">
      <c r="R223" s="5">
        <v>824</v>
      </c>
      <c r="S223" s="5" t="s">
        <v>2314</v>
      </c>
      <c r="T223" s="5" t="s">
        <v>2315</v>
      </c>
      <c r="U223" s="5">
        <v>10002</v>
      </c>
      <c r="V223" s="5" t="s">
        <v>3764</v>
      </c>
      <c r="W223" s="5" t="s">
        <v>4399</v>
      </c>
      <c r="AI223" s="468">
        <v>42595</v>
      </c>
      <c r="AJ223" s="5" t="s">
        <v>3619</v>
      </c>
      <c r="AK223" s="5" t="s">
        <v>3623</v>
      </c>
    </row>
    <row r="224" spans="18:37">
      <c r="R224" s="5">
        <v>825</v>
      </c>
      <c r="S224" s="5" t="s">
        <v>2187</v>
      </c>
      <c r="T224" s="5" t="s">
        <v>2188</v>
      </c>
      <c r="U224" s="5">
        <v>10111</v>
      </c>
      <c r="V224" s="5" t="s">
        <v>3984</v>
      </c>
      <c r="W224" s="5" t="s">
        <v>4400</v>
      </c>
      <c r="AI224" s="468">
        <v>42596</v>
      </c>
      <c r="AJ224" s="5" t="s">
        <v>3621</v>
      </c>
      <c r="AK224" s="5" t="s">
        <v>3625</v>
      </c>
    </row>
    <row r="225" spans="18:37">
      <c r="R225" s="5">
        <v>826</v>
      </c>
      <c r="S225" s="5" t="s">
        <v>2279</v>
      </c>
      <c r="T225" s="5" t="s">
        <v>2280</v>
      </c>
      <c r="U225" s="5">
        <v>10111</v>
      </c>
      <c r="V225" s="5" t="s">
        <v>3984</v>
      </c>
      <c r="W225" s="5" t="s">
        <v>4401</v>
      </c>
      <c r="AI225" s="468">
        <v>42597</v>
      </c>
      <c r="AJ225" s="5" t="s">
        <v>3579</v>
      </c>
      <c r="AK225" s="5" t="s">
        <v>3627</v>
      </c>
    </row>
    <row r="226" spans="18:37">
      <c r="R226" s="5">
        <v>827</v>
      </c>
      <c r="S226" s="5" t="s">
        <v>2166</v>
      </c>
      <c r="T226" s="5" t="s">
        <v>2167</v>
      </c>
      <c r="U226" s="5">
        <v>10111</v>
      </c>
      <c r="V226" s="5" t="s">
        <v>3984</v>
      </c>
      <c r="W226" s="5" t="s">
        <v>4402</v>
      </c>
      <c r="AI226" s="468">
        <v>42598</v>
      </c>
      <c r="AJ226" s="5" t="s">
        <v>3624</v>
      </c>
      <c r="AK226" s="5" t="s">
        <v>3618</v>
      </c>
    </row>
    <row r="227" spans="18:37">
      <c r="R227" s="5">
        <v>828</v>
      </c>
      <c r="S227" s="5" t="s">
        <v>2266</v>
      </c>
      <c r="T227" s="5" t="s">
        <v>4094</v>
      </c>
      <c r="U227" s="5">
        <v>999999</v>
      </c>
      <c r="V227" s="5" t="s">
        <v>4014</v>
      </c>
      <c r="AI227" s="468">
        <v>42599</v>
      </c>
      <c r="AJ227" s="5" t="s">
        <v>3626</v>
      </c>
      <c r="AK227" s="5" t="s">
        <v>3620</v>
      </c>
    </row>
    <row r="228" spans="18:37">
      <c r="R228" s="5">
        <v>829</v>
      </c>
      <c r="S228" s="5" t="s">
        <v>1903</v>
      </c>
      <c r="T228" s="5" t="s">
        <v>1904</v>
      </c>
      <c r="U228" s="5">
        <v>20013</v>
      </c>
      <c r="V228" s="5" t="s">
        <v>3972</v>
      </c>
      <c r="W228" s="5" t="s">
        <v>4403</v>
      </c>
      <c r="AI228" s="468">
        <v>42600</v>
      </c>
      <c r="AJ228" s="5" t="s">
        <v>3628</v>
      </c>
      <c r="AK228" s="5" t="s">
        <v>3622</v>
      </c>
    </row>
    <row r="229" spans="18:37">
      <c r="R229" s="5">
        <v>830</v>
      </c>
      <c r="S229" s="5" t="s">
        <v>2411</v>
      </c>
      <c r="T229" s="5" t="s">
        <v>2412</v>
      </c>
      <c r="U229" s="5">
        <v>20002</v>
      </c>
      <c r="V229" s="5" t="s">
        <v>1716</v>
      </c>
      <c r="W229" s="5" t="s">
        <v>4404</v>
      </c>
      <c r="AI229" s="468">
        <v>42601</v>
      </c>
      <c r="AJ229" s="5" t="s">
        <v>3617</v>
      </c>
      <c r="AK229" s="5" t="s">
        <v>3623</v>
      </c>
    </row>
    <row r="230" spans="18:37">
      <c r="R230" s="5">
        <v>831</v>
      </c>
      <c r="S230" s="5" t="s">
        <v>2591</v>
      </c>
      <c r="T230" s="5" t="s">
        <v>4095</v>
      </c>
      <c r="U230" s="5">
        <v>999999</v>
      </c>
      <c r="V230" s="5" t="s">
        <v>4014</v>
      </c>
      <c r="AI230" s="468">
        <v>42602</v>
      </c>
      <c r="AJ230" s="5" t="s">
        <v>3619</v>
      </c>
      <c r="AK230" s="5" t="s">
        <v>3625</v>
      </c>
    </row>
    <row r="231" spans="18:37">
      <c r="R231" s="5">
        <v>832</v>
      </c>
      <c r="S231" s="5" t="s">
        <v>1940</v>
      </c>
      <c r="T231" s="5" t="s">
        <v>1941</v>
      </c>
      <c r="U231" s="5">
        <v>20026</v>
      </c>
      <c r="V231" s="5" t="s">
        <v>3998</v>
      </c>
      <c r="W231" s="5" t="s">
        <v>4405</v>
      </c>
      <c r="AI231" s="468">
        <v>42603</v>
      </c>
      <c r="AJ231" s="5" t="s">
        <v>3621</v>
      </c>
      <c r="AK231" s="5" t="s">
        <v>3627</v>
      </c>
    </row>
    <row r="232" spans="18:37">
      <c r="R232" s="5">
        <v>833</v>
      </c>
      <c r="S232" s="5" t="s">
        <v>2523</v>
      </c>
      <c r="T232" s="5" t="s">
        <v>4096</v>
      </c>
      <c r="U232" s="5">
        <v>999999</v>
      </c>
      <c r="V232" s="5" t="s">
        <v>4014</v>
      </c>
      <c r="AI232" s="468">
        <v>42604</v>
      </c>
      <c r="AJ232" s="5" t="s">
        <v>3579</v>
      </c>
      <c r="AK232" s="5" t="s">
        <v>3618</v>
      </c>
    </row>
    <row r="233" spans="18:37">
      <c r="R233" s="5">
        <v>834</v>
      </c>
      <c r="S233" s="5" t="s">
        <v>2079</v>
      </c>
      <c r="T233" s="5" t="s">
        <v>4097</v>
      </c>
      <c r="U233" s="5">
        <v>999999</v>
      </c>
      <c r="V233" s="5" t="s">
        <v>4014</v>
      </c>
      <c r="AI233" s="468">
        <v>42605</v>
      </c>
      <c r="AJ233" s="5" t="s">
        <v>3624</v>
      </c>
      <c r="AK233" s="5" t="s">
        <v>3620</v>
      </c>
    </row>
    <row r="234" spans="18:37">
      <c r="R234" s="5">
        <v>835</v>
      </c>
      <c r="S234" s="5" t="s">
        <v>1976</v>
      </c>
      <c r="T234" s="5" t="s">
        <v>1713</v>
      </c>
      <c r="U234" s="5">
        <v>20002</v>
      </c>
      <c r="V234" s="5" t="s">
        <v>1716</v>
      </c>
      <c r="W234" s="5" t="s">
        <v>4406</v>
      </c>
      <c r="AI234" s="468">
        <v>42606</v>
      </c>
      <c r="AJ234" s="5" t="s">
        <v>3626</v>
      </c>
      <c r="AK234" s="5" t="s">
        <v>3622</v>
      </c>
    </row>
    <row r="235" spans="18:37">
      <c r="R235" s="5">
        <v>836</v>
      </c>
      <c r="S235" s="5" t="s">
        <v>2397</v>
      </c>
      <c r="T235" s="5" t="s">
        <v>2398</v>
      </c>
      <c r="U235" s="5">
        <v>20026</v>
      </c>
      <c r="V235" s="5" t="s">
        <v>3998</v>
      </c>
      <c r="W235" s="5" t="s">
        <v>4407</v>
      </c>
      <c r="AI235" s="468">
        <v>42607</v>
      </c>
      <c r="AJ235" s="5" t="s">
        <v>3628</v>
      </c>
      <c r="AK235" s="5" t="s">
        <v>3623</v>
      </c>
    </row>
    <row r="236" spans="18:37">
      <c r="R236" s="5">
        <v>837</v>
      </c>
      <c r="S236" s="5" t="s">
        <v>1996</v>
      </c>
      <c r="T236" s="5" t="s">
        <v>4098</v>
      </c>
      <c r="U236" s="5">
        <v>999999</v>
      </c>
      <c r="V236" s="5" t="s">
        <v>4014</v>
      </c>
      <c r="AI236" s="468">
        <v>42608</v>
      </c>
      <c r="AJ236" s="5" t="s">
        <v>3617</v>
      </c>
      <c r="AK236" s="5" t="s">
        <v>3625</v>
      </c>
    </row>
    <row r="237" spans="18:37">
      <c r="R237" s="5">
        <v>838</v>
      </c>
      <c r="S237" s="5" t="s">
        <v>2082</v>
      </c>
      <c r="T237" s="5" t="s">
        <v>2083</v>
      </c>
      <c r="U237" s="5">
        <v>20014</v>
      </c>
      <c r="V237" s="5" t="s">
        <v>3973</v>
      </c>
      <c r="W237" s="5" t="s">
        <v>4408</v>
      </c>
      <c r="AI237" s="468">
        <v>42609</v>
      </c>
      <c r="AJ237" s="5" t="s">
        <v>3619</v>
      </c>
      <c r="AK237" s="5" t="s">
        <v>3627</v>
      </c>
    </row>
    <row r="238" spans="18:37">
      <c r="R238" s="5">
        <v>839</v>
      </c>
      <c r="S238" s="5" t="s">
        <v>1972</v>
      </c>
      <c r="T238" s="5" t="s">
        <v>4099</v>
      </c>
      <c r="U238" s="5">
        <v>999999</v>
      </c>
      <c r="V238" s="5" t="s">
        <v>4014</v>
      </c>
      <c r="AI238" s="468">
        <v>42610</v>
      </c>
      <c r="AJ238" s="5" t="s">
        <v>3621</v>
      </c>
      <c r="AK238" s="5" t="s">
        <v>3618</v>
      </c>
    </row>
    <row r="239" spans="18:37">
      <c r="R239" s="5">
        <v>840</v>
      </c>
      <c r="S239" s="5" t="s">
        <v>2524</v>
      </c>
      <c r="T239" s="5" t="s">
        <v>4100</v>
      </c>
      <c r="U239" s="5">
        <v>999999</v>
      </c>
      <c r="V239" s="5" t="s">
        <v>4014</v>
      </c>
      <c r="AI239" s="468">
        <v>42611</v>
      </c>
      <c r="AJ239" s="5" t="s">
        <v>3579</v>
      </c>
      <c r="AK239" s="5" t="s">
        <v>3620</v>
      </c>
    </row>
    <row r="240" spans="18:37">
      <c r="R240" s="5">
        <v>841</v>
      </c>
      <c r="S240" s="5" t="s">
        <v>2525</v>
      </c>
      <c r="T240" s="5" t="s">
        <v>4101</v>
      </c>
      <c r="U240" s="5">
        <v>999999</v>
      </c>
      <c r="V240" s="5" t="s">
        <v>4014</v>
      </c>
      <c r="AI240" s="468">
        <v>42612</v>
      </c>
      <c r="AJ240" s="5" t="s">
        <v>3624</v>
      </c>
      <c r="AK240" s="5" t="s">
        <v>3622</v>
      </c>
    </row>
    <row r="241" spans="18:37">
      <c r="R241" s="5">
        <v>842</v>
      </c>
      <c r="S241" s="5" t="s">
        <v>1989</v>
      </c>
      <c r="T241" s="5" t="s">
        <v>4102</v>
      </c>
      <c r="U241" s="5">
        <v>999999</v>
      </c>
      <c r="V241" s="5" t="s">
        <v>4014</v>
      </c>
      <c r="AI241" s="468">
        <v>42613</v>
      </c>
      <c r="AJ241" s="5" t="s">
        <v>3626</v>
      </c>
      <c r="AK241" s="5" t="s">
        <v>3623</v>
      </c>
    </row>
    <row r="242" spans="18:37">
      <c r="R242" s="5">
        <v>843</v>
      </c>
      <c r="S242" s="5" t="s">
        <v>1899</v>
      </c>
      <c r="T242" s="5" t="s">
        <v>1900</v>
      </c>
      <c r="U242" s="5">
        <v>40015</v>
      </c>
      <c r="V242" s="5" t="s">
        <v>1814</v>
      </c>
      <c r="W242" s="5" t="s">
        <v>4409</v>
      </c>
      <c r="AI242" s="468">
        <v>42614</v>
      </c>
      <c r="AJ242" s="5" t="s">
        <v>3628</v>
      </c>
      <c r="AK242" s="5" t="s">
        <v>3618</v>
      </c>
    </row>
    <row r="243" spans="18:37">
      <c r="R243" s="5">
        <v>844</v>
      </c>
      <c r="S243" s="5" t="s">
        <v>2590</v>
      </c>
      <c r="T243" s="5" t="s">
        <v>4103</v>
      </c>
      <c r="U243" s="5">
        <v>999999</v>
      </c>
      <c r="V243" s="5" t="s">
        <v>4014</v>
      </c>
      <c r="AI243" s="468">
        <v>42615</v>
      </c>
      <c r="AJ243" s="5" t="s">
        <v>3617</v>
      </c>
      <c r="AK243" s="5" t="s">
        <v>3620</v>
      </c>
    </row>
    <row r="244" spans="18:37">
      <c r="R244" s="5">
        <v>845</v>
      </c>
      <c r="S244" s="5" t="s">
        <v>1977</v>
      </c>
      <c r="T244" s="5" t="s">
        <v>1978</v>
      </c>
      <c r="U244" s="5">
        <v>20013</v>
      </c>
      <c r="V244" s="5" t="s">
        <v>3972</v>
      </c>
      <c r="W244" s="5" t="s">
        <v>4410</v>
      </c>
      <c r="AI244" s="468">
        <v>42616</v>
      </c>
      <c r="AJ244" s="5" t="s">
        <v>3619</v>
      </c>
      <c r="AK244" s="5" t="s">
        <v>3622</v>
      </c>
    </row>
    <row r="245" spans="18:37">
      <c r="R245" s="5">
        <v>846</v>
      </c>
      <c r="S245" s="5" t="s">
        <v>2526</v>
      </c>
      <c r="T245" s="5" t="s">
        <v>4104</v>
      </c>
      <c r="U245" s="5">
        <v>999999</v>
      </c>
      <c r="V245" s="5" t="s">
        <v>4014</v>
      </c>
      <c r="AI245" s="468">
        <v>42617</v>
      </c>
      <c r="AJ245" s="5" t="s">
        <v>3621</v>
      </c>
      <c r="AK245" s="5" t="s">
        <v>3623</v>
      </c>
    </row>
    <row r="246" spans="18:37">
      <c r="R246" s="5">
        <v>847</v>
      </c>
      <c r="S246" s="5" t="s">
        <v>2323</v>
      </c>
      <c r="T246" s="5" t="s">
        <v>2324</v>
      </c>
      <c r="U246" s="5">
        <v>10104</v>
      </c>
      <c r="V246" s="5" t="s">
        <v>3980</v>
      </c>
      <c r="W246" s="5" t="s">
        <v>4411</v>
      </c>
      <c r="AI246" s="468">
        <v>42618</v>
      </c>
      <c r="AJ246" s="5" t="s">
        <v>3579</v>
      </c>
      <c r="AK246" s="5" t="s">
        <v>3625</v>
      </c>
    </row>
    <row r="247" spans="18:37">
      <c r="R247" s="5">
        <v>848</v>
      </c>
      <c r="S247" s="5" t="s">
        <v>2460</v>
      </c>
      <c r="T247" s="5" t="s">
        <v>4105</v>
      </c>
      <c r="U247" s="5">
        <v>999999</v>
      </c>
      <c r="V247" s="5" t="s">
        <v>4014</v>
      </c>
      <c r="AI247" s="468">
        <v>42619</v>
      </c>
      <c r="AJ247" s="5" t="s">
        <v>3624</v>
      </c>
      <c r="AK247" s="5" t="s">
        <v>3627</v>
      </c>
    </row>
    <row r="248" spans="18:37">
      <c r="R248" s="5">
        <v>849</v>
      </c>
      <c r="S248" s="5" t="s">
        <v>2527</v>
      </c>
      <c r="T248" s="5" t="s">
        <v>4106</v>
      </c>
      <c r="U248" s="5">
        <v>999999</v>
      </c>
      <c r="V248" s="5" t="s">
        <v>4014</v>
      </c>
      <c r="AI248" s="468">
        <v>42620</v>
      </c>
      <c r="AJ248" s="5" t="s">
        <v>3626</v>
      </c>
      <c r="AK248" s="5" t="s">
        <v>3618</v>
      </c>
    </row>
    <row r="249" spans="18:37">
      <c r="R249" s="5">
        <v>850</v>
      </c>
      <c r="S249" s="5" t="s">
        <v>1982</v>
      </c>
      <c r="T249" s="5" t="s">
        <v>1983</v>
      </c>
      <c r="U249" s="5">
        <v>20026</v>
      </c>
      <c r="V249" s="5" t="s">
        <v>3998</v>
      </c>
      <c r="W249" s="5" t="s">
        <v>4412</v>
      </c>
      <c r="AI249" s="468">
        <v>42621</v>
      </c>
      <c r="AJ249" s="5" t="s">
        <v>3628</v>
      </c>
      <c r="AK249" s="5" t="s">
        <v>3620</v>
      </c>
    </row>
    <row r="250" spans="18:37">
      <c r="R250" s="5">
        <v>851</v>
      </c>
      <c r="S250" s="5" t="s">
        <v>1914</v>
      </c>
      <c r="T250" s="5" t="s">
        <v>1915</v>
      </c>
      <c r="U250" s="5">
        <v>20014</v>
      </c>
      <c r="V250" s="5" t="s">
        <v>3973</v>
      </c>
      <c r="W250" s="5" t="s">
        <v>4413</v>
      </c>
      <c r="AI250" s="468">
        <v>42622</v>
      </c>
      <c r="AJ250" s="5" t="s">
        <v>3617</v>
      </c>
      <c r="AK250" s="5" t="s">
        <v>3622</v>
      </c>
    </row>
    <row r="251" spans="18:37">
      <c r="R251" s="5">
        <v>852</v>
      </c>
      <c r="S251" s="5" t="s">
        <v>2589</v>
      </c>
      <c r="T251" s="5" t="s">
        <v>4107</v>
      </c>
      <c r="U251" s="5">
        <v>999999</v>
      </c>
      <c r="V251" s="5" t="s">
        <v>4014</v>
      </c>
      <c r="AI251" s="468">
        <v>42623</v>
      </c>
      <c r="AJ251" s="5" t="s">
        <v>3619</v>
      </c>
      <c r="AK251" s="5" t="s">
        <v>3623</v>
      </c>
    </row>
    <row r="252" spans="18:37">
      <c r="R252" s="5">
        <v>853</v>
      </c>
      <c r="S252" s="5" t="s">
        <v>2528</v>
      </c>
      <c r="T252" s="5" t="s">
        <v>4108</v>
      </c>
      <c r="U252" s="5">
        <v>999999</v>
      </c>
      <c r="V252" s="5" t="s">
        <v>4014</v>
      </c>
      <c r="AI252" s="468">
        <v>42624</v>
      </c>
      <c r="AJ252" s="5" t="s">
        <v>3621</v>
      </c>
      <c r="AK252" s="5" t="s">
        <v>3625</v>
      </c>
    </row>
    <row r="253" spans="18:37">
      <c r="R253" s="5">
        <v>854</v>
      </c>
      <c r="S253" s="5" t="s">
        <v>2529</v>
      </c>
      <c r="T253" s="5" t="s">
        <v>4109</v>
      </c>
      <c r="U253" s="5">
        <v>999999</v>
      </c>
      <c r="V253" s="5" t="s">
        <v>4014</v>
      </c>
      <c r="AI253" s="468">
        <v>42625</v>
      </c>
      <c r="AJ253" s="5" t="s">
        <v>3579</v>
      </c>
      <c r="AK253" s="5" t="s">
        <v>3627</v>
      </c>
    </row>
    <row r="254" spans="18:37">
      <c r="R254" s="5">
        <v>855</v>
      </c>
      <c r="S254" s="5" t="s">
        <v>2602</v>
      </c>
      <c r="T254" s="5" t="s">
        <v>2603</v>
      </c>
      <c r="U254" s="5">
        <v>10105</v>
      </c>
      <c r="V254" s="5" t="s">
        <v>3755</v>
      </c>
      <c r="W254" s="5" t="s">
        <v>4414</v>
      </c>
      <c r="AI254" s="468">
        <v>42626</v>
      </c>
      <c r="AJ254" s="5" t="s">
        <v>3624</v>
      </c>
      <c r="AK254" s="5" t="s">
        <v>3618</v>
      </c>
    </row>
    <row r="255" spans="18:37">
      <c r="R255" s="5">
        <v>856</v>
      </c>
      <c r="S255" s="5" t="s">
        <v>2530</v>
      </c>
      <c r="T255" s="5" t="s">
        <v>4110</v>
      </c>
      <c r="U255" s="5">
        <v>999999</v>
      </c>
      <c r="V255" s="5" t="s">
        <v>4014</v>
      </c>
      <c r="AI255" s="468">
        <v>42627</v>
      </c>
      <c r="AJ255" s="5" t="s">
        <v>3626</v>
      </c>
      <c r="AK255" s="5" t="s">
        <v>3620</v>
      </c>
    </row>
    <row r="256" spans="18:37">
      <c r="R256" s="5">
        <v>857</v>
      </c>
      <c r="S256" s="5" t="s">
        <v>2265</v>
      </c>
      <c r="T256" s="5" t="s">
        <v>4111</v>
      </c>
      <c r="U256" s="5">
        <v>999999</v>
      </c>
      <c r="V256" s="5" t="s">
        <v>4014</v>
      </c>
      <c r="AI256" s="468">
        <v>42628</v>
      </c>
      <c r="AJ256" s="5" t="s">
        <v>3628</v>
      </c>
      <c r="AK256" s="5" t="s">
        <v>3622</v>
      </c>
    </row>
    <row r="257" spans="18:37">
      <c r="R257" s="5">
        <v>858</v>
      </c>
      <c r="S257" s="5" t="s">
        <v>1962</v>
      </c>
      <c r="T257" s="5" t="s">
        <v>1963</v>
      </c>
      <c r="U257" s="5">
        <v>20017</v>
      </c>
      <c r="V257" s="5" t="s">
        <v>1821</v>
      </c>
      <c r="W257" s="5" t="s">
        <v>4415</v>
      </c>
      <c r="AI257" s="468">
        <v>42629</v>
      </c>
      <c r="AJ257" s="5" t="s">
        <v>3617</v>
      </c>
      <c r="AK257" s="5" t="s">
        <v>3623</v>
      </c>
    </row>
    <row r="258" spans="18:37">
      <c r="R258" s="5">
        <v>859</v>
      </c>
      <c r="S258" s="5" t="s">
        <v>2604</v>
      </c>
      <c r="T258" s="5" t="s">
        <v>2605</v>
      </c>
      <c r="U258" s="5">
        <v>20023</v>
      </c>
      <c r="V258" s="5" t="s">
        <v>3990</v>
      </c>
      <c r="W258" s="5" t="s">
        <v>4416</v>
      </c>
      <c r="AI258" s="468">
        <v>42630</v>
      </c>
      <c r="AJ258" s="5" t="s">
        <v>3619</v>
      </c>
      <c r="AK258" s="5" t="s">
        <v>3625</v>
      </c>
    </row>
    <row r="259" spans="18:37">
      <c r="R259" s="5">
        <v>860</v>
      </c>
      <c r="S259" s="5" t="s">
        <v>2588</v>
      </c>
      <c r="T259" s="5" t="s">
        <v>4112</v>
      </c>
      <c r="U259" s="5">
        <v>999999</v>
      </c>
      <c r="V259" s="5" t="s">
        <v>4014</v>
      </c>
      <c r="AI259" s="468">
        <v>42631</v>
      </c>
      <c r="AJ259" s="5" t="s">
        <v>3621</v>
      </c>
      <c r="AK259" s="5" t="s">
        <v>3627</v>
      </c>
    </row>
    <row r="260" spans="18:37">
      <c r="R260" s="5">
        <v>861</v>
      </c>
      <c r="S260" s="5" t="s">
        <v>1999</v>
      </c>
      <c r="T260" s="5" t="s">
        <v>2000</v>
      </c>
      <c r="U260" s="5">
        <v>20023</v>
      </c>
      <c r="V260" s="5" t="s">
        <v>3990</v>
      </c>
      <c r="W260" s="5" t="s">
        <v>4417</v>
      </c>
      <c r="AI260" s="468">
        <v>42632</v>
      </c>
      <c r="AJ260" s="5" t="s">
        <v>3579</v>
      </c>
      <c r="AK260" s="5" t="s">
        <v>3618</v>
      </c>
    </row>
    <row r="261" spans="18:37">
      <c r="R261" s="5">
        <v>862</v>
      </c>
      <c r="S261" s="5" t="s">
        <v>2162</v>
      </c>
      <c r="T261" s="5" t="s">
        <v>2163</v>
      </c>
      <c r="U261" s="5">
        <v>20023</v>
      </c>
      <c r="V261" s="5" t="s">
        <v>3990</v>
      </c>
      <c r="W261" s="5" t="s">
        <v>4418</v>
      </c>
      <c r="AI261" s="468">
        <v>42633</v>
      </c>
      <c r="AJ261" s="5" t="s">
        <v>3624</v>
      </c>
      <c r="AK261" s="5" t="s">
        <v>3620</v>
      </c>
    </row>
    <row r="262" spans="18:37">
      <c r="R262" s="5">
        <v>863</v>
      </c>
      <c r="S262" s="5" t="s">
        <v>2183</v>
      </c>
      <c r="T262" s="5" t="s">
        <v>2184</v>
      </c>
      <c r="U262" s="5">
        <v>40003</v>
      </c>
      <c r="V262" s="5" t="s">
        <v>4001</v>
      </c>
      <c r="W262" s="5" t="s">
        <v>4419</v>
      </c>
      <c r="AI262" s="468">
        <v>42634</v>
      </c>
      <c r="AJ262" s="5" t="s">
        <v>3626</v>
      </c>
      <c r="AK262" s="5" t="s">
        <v>3622</v>
      </c>
    </row>
    <row r="263" spans="18:37">
      <c r="R263" s="5">
        <v>864</v>
      </c>
      <c r="S263" s="5" t="s">
        <v>2441</v>
      </c>
      <c r="T263" s="5" t="s">
        <v>2442</v>
      </c>
      <c r="U263" s="5">
        <v>40002</v>
      </c>
      <c r="V263" s="5" t="s">
        <v>4000</v>
      </c>
      <c r="W263" s="5" t="s">
        <v>4420</v>
      </c>
      <c r="AI263" s="468">
        <v>42635</v>
      </c>
      <c r="AJ263" s="5" t="s">
        <v>3628</v>
      </c>
      <c r="AK263" s="5" t="s">
        <v>3623</v>
      </c>
    </row>
    <row r="264" spans="18:37">
      <c r="R264" s="5">
        <v>865</v>
      </c>
      <c r="S264" s="5" t="s">
        <v>2531</v>
      </c>
      <c r="T264" s="5" t="s">
        <v>4113</v>
      </c>
      <c r="U264" s="5">
        <v>999999</v>
      </c>
      <c r="V264" s="5" t="s">
        <v>4014</v>
      </c>
      <c r="AI264" s="468">
        <v>42636</v>
      </c>
      <c r="AJ264" s="5" t="s">
        <v>3617</v>
      </c>
      <c r="AK264" s="5" t="s">
        <v>3625</v>
      </c>
    </row>
    <row r="265" spans="18:37">
      <c r="R265" s="5">
        <v>866</v>
      </c>
      <c r="S265" s="5" t="s">
        <v>2072</v>
      </c>
      <c r="T265" s="5" t="s">
        <v>2073</v>
      </c>
      <c r="U265" s="5">
        <v>40011</v>
      </c>
      <c r="V265" s="5" t="s">
        <v>1802</v>
      </c>
      <c r="W265" s="5" t="s">
        <v>4421</v>
      </c>
      <c r="AI265" s="468">
        <v>42637</v>
      </c>
      <c r="AJ265" s="5" t="s">
        <v>3619</v>
      </c>
      <c r="AK265" s="5" t="s">
        <v>3627</v>
      </c>
    </row>
    <row r="266" spans="18:37">
      <c r="R266" s="5">
        <v>867</v>
      </c>
      <c r="S266" s="5" t="s">
        <v>2120</v>
      </c>
      <c r="T266" s="5" t="s">
        <v>2121</v>
      </c>
      <c r="U266" s="5">
        <v>40003</v>
      </c>
      <c r="V266" s="5" t="s">
        <v>4001</v>
      </c>
      <c r="W266" s="5" t="s">
        <v>4422</v>
      </c>
      <c r="AI266" s="468">
        <v>42638</v>
      </c>
      <c r="AJ266" s="5" t="s">
        <v>3621</v>
      </c>
      <c r="AK266" s="5" t="s">
        <v>3618</v>
      </c>
    </row>
    <row r="267" spans="18:37">
      <c r="R267" s="5">
        <v>868</v>
      </c>
      <c r="S267" s="5" t="s">
        <v>2256</v>
      </c>
      <c r="T267" s="5" t="s">
        <v>4114</v>
      </c>
      <c r="U267" s="5">
        <v>999999</v>
      </c>
      <c r="V267" s="5" t="s">
        <v>4014</v>
      </c>
      <c r="AI267" s="468">
        <v>42639</v>
      </c>
      <c r="AJ267" s="5" t="s">
        <v>3579</v>
      </c>
      <c r="AK267" s="5" t="s">
        <v>3620</v>
      </c>
    </row>
    <row r="268" spans="18:37">
      <c r="R268" s="5">
        <v>869</v>
      </c>
      <c r="S268" s="5" t="s">
        <v>1895</v>
      </c>
      <c r="T268" s="5" t="s">
        <v>1896</v>
      </c>
      <c r="U268" s="5">
        <v>40016</v>
      </c>
      <c r="V268" s="5" t="s">
        <v>3967</v>
      </c>
      <c r="W268" s="5" t="s">
        <v>4423</v>
      </c>
      <c r="AI268" s="468">
        <v>42640</v>
      </c>
      <c r="AJ268" s="5" t="s">
        <v>3624</v>
      </c>
      <c r="AK268" s="5" t="s">
        <v>3622</v>
      </c>
    </row>
    <row r="269" spans="18:37">
      <c r="R269" s="5">
        <v>870</v>
      </c>
      <c r="S269" s="5" t="s">
        <v>1907</v>
      </c>
      <c r="T269" s="5" t="s">
        <v>1908</v>
      </c>
      <c r="U269" s="5">
        <v>10104</v>
      </c>
      <c r="V269" s="5" t="s">
        <v>3980</v>
      </c>
      <c r="W269" s="5" t="s">
        <v>4424</v>
      </c>
      <c r="AI269" s="468">
        <v>42641</v>
      </c>
      <c r="AJ269" s="5" t="s">
        <v>3626</v>
      </c>
      <c r="AK269" s="5" t="s">
        <v>3623</v>
      </c>
    </row>
    <row r="270" spans="18:37">
      <c r="R270" s="5">
        <v>871</v>
      </c>
      <c r="S270" s="5" t="s">
        <v>2396</v>
      </c>
      <c r="T270" s="5" t="s">
        <v>1808</v>
      </c>
      <c r="U270" s="5">
        <v>40011</v>
      </c>
      <c r="V270" s="5" t="s">
        <v>1802</v>
      </c>
      <c r="W270" s="5" t="s">
        <v>4425</v>
      </c>
      <c r="AI270" s="468">
        <v>42642</v>
      </c>
      <c r="AJ270" s="5" t="s">
        <v>3628</v>
      </c>
      <c r="AK270" s="5" t="s">
        <v>3625</v>
      </c>
    </row>
    <row r="271" spans="18:37">
      <c r="R271" s="5">
        <v>872</v>
      </c>
      <c r="S271" s="5" t="s">
        <v>2587</v>
      </c>
      <c r="T271" s="5" t="s">
        <v>4115</v>
      </c>
      <c r="U271" s="5">
        <v>999999</v>
      </c>
      <c r="V271" s="5" t="s">
        <v>4014</v>
      </c>
      <c r="AI271" s="468">
        <v>42643</v>
      </c>
      <c r="AJ271" s="5" t="s">
        <v>3617</v>
      </c>
      <c r="AK271" s="5" t="s">
        <v>3627</v>
      </c>
    </row>
    <row r="272" spans="18:37">
      <c r="R272" s="5">
        <v>873</v>
      </c>
      <c r="S272" s="5" t="s">
        <v>2532</v>
      </c>
      <c r="T272" s="5" t="s">
        <v>4116</v>
      </c>
      <c r="U272" s="5">
        <v>999999</v>
      </c>
      <c r="V272" s="5" t="s">
        <v>4014</v>
      </c>
      <c r="AI272" s="468">
        <v>42644</v>
      </c>
      <c r="AJ272" s="5" t="s">
        <v>3619</v>
      </c>
      <c r="AK272" s="5" t="s">
        <v>3620</v>
      </c>
    </row>
    <row r="273" spans="18:37">
      <c r="R273" s="5">
        <v>874</v>
      </c>
      <c r="S273" s="5" t="s">
        <v>2350</v>
      </c>
      <c r="T273" s="5" t="s">
        <v>2351</v>
      </c>
      <c r="U273" s="5">
        <v>40016</v>
      </c>
      <c r="V273" s="5" t="s">
        <v>3967</v>
      </c>
      <c r="W273" s="5" t="s">
        <v>4426</v>
      </c>
      <c r="AI273" s="468">
        <v>42645</v>
      </c>
      <c r="AJ273" s="5" t="s">
        <v>3621</v>
      </c>
      <c r="AK273" s="5" t="s">
        <v>3622</v>
      </c>
    </row>
    <row r="274" spans="18:37">
      <c r="R274" s="5">
        <v>875</v>
      </c>
      <c r="S274" s="5" t="s">
        <v>2047</v>
      </c>
      <c r="T274" s="5" t="s">
        <v>2048</v>
      </c>
      <c r="U274" s="5">
        <v>40016</v>
      </c>
      <c r="V274" s="5" t="s">
        <v>3967</v>
      </c>
      <c r="W274" s="5" t="s">
        <v>4427</v>
      </c>
      <c r="AI274" s="468">
        <v>42646</v>
      </c>
      <c r="AJ274" s="5" t="s">
        <v>3579</v>
      </c>
      <c r="AK274" s="5" t="s">
        <v>3623</v>
      </c>
    </row>
    <row r="275" spans="18:37">
      <c r="R275" s="5">
        <v>876</v>
      </c>
      <c r="S275" s="5" t="s">
        <v>2533</v>
      </c>
      <c r="T275" s="5" t="s">
        <v>4117</v>
      </c>
      <c r="U275" s="5">
        <v>999999</v>
      </c>
      <c r="V275" s="5" t="s">
        <v>4014</v>
      </c>
      <c r="AI275" s="468">
        <v>42647</v>
      </c>
      <c r="AJ275" s="5" t="s">
        <v>3624</v>
      </c>
      <c r="AK275" s="5" t="s">
        <v>3625</v>
      </c>
    </row>
    <row r="276" spans="18:37">
      <c r="R276" s="5">
        <v>877</v>
      </c>
      <c r="S276" s="5" t="s">
        <v>2101</v>
      </c>
      <c r="T276" s="5" t="s">
        <v>1797</v>
      </c>
      <c r="U276" s="5">
        <v>40015</v>
      </c>
      <c r="V276" s="5" t="s">
        <v>1814</v>
      </c>
      <c r="W276" s="5" t="s">
        <v>4428</v>
      </c>
      <c r="AI276" s="468">
        <v>42648</v>
      </c>
      <c r="AJ276" s="5" t="s">
        <v>3626</v>
      </c>
      <c r="AK276" s="5" t="s">
        <v>3627</v>
      </c>
    </row>
    <row r="277" spans="18:37">
      <c r="R277" s="5">
        <v>878</v>
      </c>
      <c r="S277" s="5" t="s">
        <v>2534</v>
      </c>
      <c r="T277" s="5" t="s">
        <v>4118</v>
      </c>
      <c r="U277" s="5">
        <v>999999</v>
      </c>
      <c r="V277" s="5" t="s">
        <v>4014</v>
      </c>
      <c r="AI277" s="468">
        <v>42649</v>
      </c>
      <c r="AJ277" s="5" t="s">
        <v>3628</v>
      </c>
      <c r="AK277" s="5" t="s">
        <v>3618</v>
      </c>
    </row>
    <row r="278" spans="18:37">
      <c r="R278" s="5">
        <v>879</v>
      </c>
      <c r="S278" s="5" t="s">
        <v>2045</v>
      </c>
      <c r="T278" s="5" t="s">
        <v>2046</v>
      </c>
      <c r="U278" s="5">
        <v>40015</v>
      </c>
      <c r="V278" s="5" t="s">
        <v>1814</v>
      </c>
      <c r="W278" s="5" t="s">
        <v>4429</v>
      </c>
      <c r="AI278" s="468">
        <v>42650</v>
      </c>
      <c r="AJ278" s="5" t="s">
        <v>3617</v>
      </c>
      <c r="AK278" s="5" t="s">
        <v>3620</v>
      </c>
    </row>
    <row r="279" spans="18:37">
      <c r="R279" s="5">
        <v>880</v>
      </c>
      <c r="S279" s="5" t="s">
        <v>2476</v>
      </c>
      <c r="T279" s="5" t="s">
        <v>4119</v>
      </c>
      <c r="U279" s="5">
        <v>999999</v>
      </c>
      <c r="V279" s="5" t="s">
        <v>4014</v>
      </c>
      <c r="AI279" s="468">
        <v>42651</v>
      </c>
      <c r="AJ279" s="5" t="s">
        <v>3619</v>
      </c>
      <c r="AK279" s="5" t="s">
        <v>3622</v>
      </c>
    </row>
    <row r="280" spans="18:37">
      <c r="R280" s="5">
        <v>881</v>
      </c>
      <c r="S280" s="5" t="s">
        <v>1964</v>
      </c>
      <c r="T280" s="5" t="s">
        <v>4120</v>
      </c>
      <c r="U280" s="5">
        <v>40017</v>
      </c>
      <c r="V280" s="5" t="s">
        <v>3765</v>
      </c>
      <c r="W280" s="5" t="s">
        <v>4430</v>
      </c>
      <c r="AI280" s="468">
        <v>42652</v>
      </c>
      <c r="AJ280" s="5" t="s">
        <v>3621</v>
      </c>
      <c r="AK280" s="5" t="s">
        <v>3623</v>
      </c>
    </row>
    <row r="281" spans="18:37">
      <c r="R281" s="5">
        <v>882</v>
      </c>
      <c r="S281" s="5" t="s">
        <v>1957</v>
      </c>
      <c r="T281" s="5" t="s">
        <v>1958</v>
      </c>
      <c r="U281" s="5">
        <v>40035</v>
      </c>
      <c r="V281" s="5" t="s">
        <v>4008</v>
      </c>
      <c r="W281" s="5" t="s">
        <v>4431</v>
      </c>
      <c r="AI281" s="468">
        <v>42653</v>
      </c>
      <c r="AJ281" s="5" t="s">
        <v>3579</v>
      </c>
      <c r="AK281" s="5" t="s">
        <v>3625</v>
      </c>
    </row>
    <row r="282" spans="18:37">
      <c r="R282" s="5">
        <v>883</v>
      </c>
      <c r="S282" s="5" t="s">
        <v>2372</v>
      </c>
      <c r="T282" s="5" t="s">
        <v>2373</v>
      </c>
      <c r="U282" s="5">
        <v>40017</v>
      </c>
      <c r="V282" s="5" t="s">
        <v>3765</v>
      </c>
      <c r="W282" s="5" t="s">
        <v>4432</v>
      </c>
      <c r="AI282" s="468">
        <v>42654</v>
      </c>
      <c r="AJ282" s="5" t="s">
        <v>3624</v>
      </c>
      <c r="AK282" s="5" t="s">
        <v>3627</v>
      </c>
    </row>
    <row r="283" spans="18:37">
      <c r="R283" s="5">
        <v>884</v>
      </c>
      <c r="S283" s="5" t="s">
        <v>2480</v>
      </c>
      <c r="T283" s="5" t="s">
        <v>4121</v>
      </c>
      <c r="U283" s="5">
        <v>999999</v>
      </c>
      <c r="V283" s="5" t="s">
        <v>4014</v>
      </c>
      <c r="AI283" s="468">
        <v>42655</v>
      </c>
      <c r="AJ283" s="5" t="s">
        <v>3626</v>
      </c>
      <c r="AK283" s="5" t="s">
        <v>3618</v>
      </c>
    </row>
    <row r="284" spans="18:37">
      <c r="R284" s="5">
        <v>885</v>
      </c>
      <c r="S284" s="5" t="s">
        <v>2535</v>
      </c>
      <c r="T284" s="5" t="s">
        <v>4122</v>
      </c>
      <c r="U284" s="5">
        <v>999999</v>
      </c>
      <c r="V284" s="5" t="s">
        <v>4014</v>
      </c>
      <c r="AI284" s="468">
        <v>42656</v>
      </c>
      <c r="AJ284" s="5" t="s">
        <v>3628</v>
      </c>
      <c r="AK284" s="5" t="s">
        <v>3620</v>
      </c>
    </row>
    <row r="285" spans="18:37">
      <c r="R285" s="5">
        <v>886</v>
      </c>
      <c r="S285" s="5" t="s">
        <v>2454</v>
      </c>
      <c r="T285" s="5" t="s">
        <v>2455</v>
      </c>
      <c r="U285" s="5">
        <v>40015</v>
      </c>
      <c r="V285" s="5" t="s">
        <v>1814</v>
      </c>
      <c r="W285" s="5" t="s">
        <v>4433</v>
      </c>
      <c r="AI285" s="468">
        <v>42657</v>
      </c>
      <c r="AJ285" s="5" t="s">
        <v>3617</v>
      </c>
      <c r="AK285" s="5" t="s">
        <v>3622</v>
      </c>
    </row>
    <row r="286" spans="18:37">
      <c r="R286" s="5">
        <v>887</v>
      </c>
      <c r="S286" s="5" t="s">
        <v>2057</v>
      </c>
      <c r="T286" s="5" t="s">
        <v>2058</v>
      </c>
      <c r="U286" s="5">
        <v>10104</v>
      </c>
      <c r="V286" s="5" t="s">
        <v>3980</v>
      </c>
      <c r="W286" s="5" t="s">
        <v>4434</v>
      </c>
      <c r="AI286" s="468">
        <v>42658</v>
      </c>
      <c r="AJ286" s="5" t="s">
        <v>3619</v>
      </c>
      <c r="AK286" s="5" t="s">
        <v>3623</v>
      </c>
    </row>
    <row r="287" spans="18:37">
      <c r="R287" s="5">
        <v>888</v>
      </c>
      <c r="S287" s="5" t="s">
        <v>2399</v>
      </c>
      <c r="T287" s="5" t="s">
        <v>2400</v>
      </c>
      <c r="U287" s="5">
        <v>40032</v>
      </c>
      <c r="V287" s="5" t="s">
        <v>4005</v>
      </c>
      <c r="W287" s="5" t="s">
        <v>4435</v>
      </c>
      <c r="AI287" s="468">
        <v>42659</v>
      </c>
      <c r="AJ287" s="5" t="s">
        <v>3621</v>
      </c>
      <c r="AK287" s="5" t="s">
        <v>3625</v>
      </c>
    </row>
    <row r="288" spans="18:37">
      <c r="R288" s="5">
        <v>889</v>
      </c>
      <c r="S288" s="5" t="s">
        <v>2469</v>
      </c>
      <c r="T288" s="5" t="s">
        <v>2470</v>
      </c>
      <c r="U288" s="5">
        <v>40032</v>
      </c>
      <c r="V288" s="5" t="s">
        <v>4005</v>
      </c>
      <c r="W288" s="5" t="s">
        <v>4436</v>
      </c>
      <c r="AI288" s="468">
        <v>42660</v>
      </c>
      <c r="AJ288" s="5" t="s">
        <v>3579</v>
      </c>
      <c r="AK288" s="5" t="s">
        <v>3627</v>
      </c>
    </row>
    <row r="289" spans="18:37">
      <c r="R289" s="5">
        <v>890</v>
      </c>
      <c r="S289" s="5" t="s">
        <v>2536</v>
      </c>
      <c r="T289" s="5" t="s">
        <v>4123</v>
      </c>
      <c r="U289" s="5">
        <v>999999</v>
      </c>
      <c r="V289" s="5" t="s">
        <v>4014</v>
      </c>
      <c r="AI289" s="468">
        <v>42661</v>
      </c>
      <c r="AJ289" s="5" t="s">
        <v>3624</v>
      </c>
      <c r="AK289" s="5" t="s">
        <v>3618</v>
      </c>
    </row>
    <row r="290" spans="18:37">
      <c r="R290" s="5">
        <v>891</v>
      </c>
      <c r="S290" s="5" t="s">
        <v>2179</v>
      </c>
      <c r="T290" s="5" t="s">
        <v>2180</v>
      </c>
      <c r="U290" s="5">
        <v>40034</v>
      </c>
      <c r="V290" s="5" t="s">
        <v>4007</v>
      </c>
      <c r="W290" s="5" t="s">
        <v>4437</v>
      </c>
      <c r="AI290" s="468">
        <v>42662</v>
      </c>
      <c r="AJ290" s="5" t="s">
        <v>3626</v>
      </c>
      <c r="AK290" s="5" t="s">
        <v>3620</v>
      </c>
    </row>
    <row r="291" spans="18:37">
      <c r="R291" s="5">
        <v>892</v>
      </c>
      <c r="S291" s="5" t="s">
        <v>2147</v>
      </c>
      <c r="T291" s="5" t="s">
        <v>2148</v>
      </c>
      <c r="U291" s="5">
        <v>40034</v>
      </c>
      <c r="V291" s="5" t="s">
        <v>4007</v>
      </c>
      <c r="W291" s="5" t="s">
        <v>4438</v>
      </c>
      <c r="AI291" s="468">
        <v>42663</v>
      </c>
      <c r="AJ291" s="5" t="s">
        <v>3628</v>
      </c>
      <c r="AK291" s="5" t="s">
        <v>3622</v>
      </c>
    </row>
    <row r="292" spans="18:37">
      <c r="R292" s="5">
        <v>893</v>
      </c>
      <c r="S292" s="5" t="s">
        <v>2149</v>
      </c>
      <c r="T292" s="5" t="s">
        <v>2150</v>
      </c>
      <c r="U292" s="5">
        <v>40034</v>
      </c>
      <c r="V292" s="5" t="s">
        <v>4007</v>
      </c>
      <c r="W292" s="5" t="s">
        <v>4439</v>
      </c>
      <c r="AI292" s="468">
        <v>42664</v>
      </c>
      <c r="AJ292" s="5" t="s">
        <v>3617</v>
      </c>
      <c r="AK292" s="5" t="s">
        <v>3623</v>
      </c>
    </row>
    <row r="293" spans="18:37">
      <c r="R293" s="5">
        <v>894</v>
      </c>
      <c r="S293" s="5" t="s">
        <v>2328</v>
      </c>
      <c r="T293" s="5" t="s">
        <v>4124</v>
      </c>
      <c r="U293" s="5">
        <v>999999</v>
      </c>
      <c r="V293" s="5" t="s">
        <v>4014</v>
      </c>
      <c r="AI293" s="468">
        <v>42665</v>
      </c>
      <c r="AJ293" s="5" t="s">
        <v>3619</v>
      </c>
      <c r="AK293" s="5" t="s">
        <v>3625</v>
      </c>
    </row>
    <row r="294" spans="18:37">
      <c r="R294" s="5">
        <v>895</v>
      </c>
      <c r="S294" s="5" t="s">
        <v>2022</v>
      </c>
      <c r="T294" s="5" t="s">
        <v>2023</v>
      </c>
      <c r="U294" s="5">
        <v>40034</v>
      </c>
      <c r="V294" s="5" t="s">
        <v>4007</v>
      </c>
      <c r="W294" s="5" t="s">
        <v>4440</v>
      </c>
      <c r="AI294" s="468">
        <v>42666</v>
      </c>
      <c r="AJ294" s="5" t="s">
        <v>3621</v>
      </c>
      <c r="AK294" s="5" t="s">
        <v>3627</v>
      </c>
    </row>
    <row r="295" spans="18:37">
      <c r="R295" s="5">
        <v>896</v>
      </c>
      <c r="S295" s="5" t="s">
        <v>2034</v>
      </c>
      <c r="T295" s="5" t="s">
        <v>2035</v>
      </c>
      <c r="U295" s="5">
        <v>40035</v>
      </c>
      <c r="V295" s="5" t="s">
        <v>4008</v>
      </c>
      <c r="W295" s="5" t="s">
        <v>4441</v>
      </c>
      <c r="AI295" s="468">
        <v>42667</v>
      </c>
      <c r="AJ295" s="5" t="s">
        <v>3579</v>
      </c>
      <c r="AK295" s="5" t="s">
        <v>3618</v>
      </c>
    </row>
    <row r="296" spans="18:37">
      <c r="R296" s="5">
        <v>897</v>
      </c>
      <c r="S296" s="5" t="s">
        <v>1892</v>
      </c>
      <c r="T296" s="5" t="s">
        <v>1893</v>
      </c>
      <c r="U296" s="5">
        <v>40035</v>
      </c>
      <c r="V296" s="5" t="s">
        <v>4008</v>
      </c>
      <c r="W296" s="5" t="s">
        <v>4442</v>
      </c>
      <c r="AI296" s="468">
        <v>42668</v>
      </c>
      <c r="AJ296" s="5" t="s">
        <v>3624</v>
      </c>
      <c r="AK296" s="5" t="s">
        <v>3620</v>
      </c>
    </row>
    <row r="297" spans="18:37">
      <c r="R297" s="5">
        <v>898</v>
      </c>
      <c r="S297" s="5" t="s">
        <v>2043</v>
      </c>
      <c r="T297" s="5" t="s">
        <v>2044</v>
      </c>
      <c r="U297" s="5">
        <v>40035</v>
      </c>
      <c r="V297" s="5" t="s">
        <v>4008</v>
      </c>
      <c r="W297" s="5" t="s">
        <v>4443</v>
      </c>
      <c r="AI297" s="468">
        <v>42669</v>
      </c>
      <c r="AJ297" s="5" t="s">
        <v>3626</v>
      </c>
      <c r="AK297" s="5" t="s">
        <v>3622</v>
      </c>
    </row>
    <row r="298" spans="18:37">
      <c r="R298" s="5">
        <v>899</v>
      </c>
      <c r="S298" s="5" t="s">
        <v>2537</v>
      </c>
      <c r="T298" s="5" t="s">
        <v>4125</v>
      </c>
      <c r="U298" s="5">
        <v>999999</v>
      </c>
      <c r="V298" s="5" t="s">
        <v>4014</v>
      </c>
      <c r="AI298" s="468">
        <v>42670</v>
      </c>
      <c r="AJ298" s="5" t="s">
        <v>3628</v>
      </c>
      <c r="AK298" s="5" t="s">
        <v>3623</v>
      </c>
    </row>
    <row r="299" spans="18:37">
      <c r="R299" s="5">
        <v>900</v>
      </c>
      <c r="S299" s="5" t="s">
        <v>2538</v>
      </c>
      <c r="T299" s="5" t="s">
        <v>4126</v>
      </c>
      <c r="U299" s="5">
        <v>999999</v>
      </c>
      <c r="V299" s="5" t="s">
        <v>4014</v>
      </c>
      <c r="AI299" s="468">
        <v>42671</v>
      </c>
      <c r="AJ299" s="5" t="s">
        <v>3617</v>
      </c>
      <c r="AK299" s="5" t="s">
        <v>3625</v>
      </c>
    </row>
    <row r="300" spans="18:37">
      <c r="R300" s="5">
        <v>901</v>
      </c>
      <c r="S300" s="5" t="s">
        <v>2586</v>
      </c>
      <c r="T300" s="5" t="s">
        <v>4127</v>
      </c>
      <c r="U300" s="5">
        <v>999999</v>
      </c>
      <c r="V300" s="5" t="s">
        <v>4014</v>
      </c>
      <c r="AI300" s="468">
        <v>42672</v>
      </c>
      <c r="AJ300" s="5" t="s">
        <v>3619</v>
      </c>
      <c r="AK300" s="5" t="s">
        <v>3627</v>
      </c>
    </row>
    <row r="301" spans="18:37">
      <c r="R301" s="5">
        <v>902</v>
      </c>
      <c r="S301" s="5" t="s">
        <v>2244</v>
      </c>
      <c r="T301" s="5" t="s">
        <v>4128</v>
      </c>
      <c r="U301" s="5">
        <v>999999</v>
      </c>
      <c r="V301" s="5" t="s">
        <v>4014</v>
      </c>
      <c r="AI301" s="468">
        <v>42673</v>
      </c>
      <c r="AJ301" s="5" t="s">
        <v>3621</v>
      </c>
      <c r="AK301" s="5" t="s">
        <v>3618</v>
      </c>
    </row>
    <row r="302" spans="18:37">
      <c r="R302" s="5">
        <v>903</v>
      </c>
      <c r="S302" s="5" t="s">
        <v>2255</v>
      </c>
      <c r="T302" s="5" t="s">
        <v>4129</v>
      </c>
      <c r="U302" s="5">
        <v>999999</v>
      </c>
      <c r="V302" s="5" t="s">
        <v>4014</v>
      </c>
      <c r="AI302" s="468">
        <v>42674</v>
      </c>
      <c r="AJ302" s="5" t="s">
        <v>3579</v>
      </c>
      <c r="AK302" s="5" t="s">
        <v>3622</v>
      </c>
    </row>
    <row r="303" spans="18:37">
      <c r="R303" s="5">
        <v>904</v>
      </c>
      <c r="S303" s="5" t="s">
        <v>2064</v>
      </c>
      <c r="T303" s="5" t="s">
        <v>2065</v>
      </c>
      <c r="U303" s="5">
        <v>10016</v>
      </c>
      <c r="V303" s="5" t="s">
        <v>3738</v>
      </c>
      <c r="W303" s="5" t="s">
        <v>4444</v>
      </c>
      <c r="AI303" s="468">
        <v>42675</v>
      </c>
      <c r="AJ303" s="5" t="s">
        <v>3624</v>
      </c>
      <c r="AK303" s="5" t="s">
        <v>3623</v>
      </c>
    </row>
    <row r="304" spans="18:37">
      <c r="R304" s="5">
        <v>905</v>
      </c>
      <c r="S304" s="5" t="s">
        <v>2539</v>
      </c>
      <c r="T304" s="5" t="s">
        <v>4130</v>
      </c>
      <c r="U304" s="5">
        <v>999999</v>
      </c>
      <c r="V304" s="5" t="s">
        <v>4014</v>
      </c>
      <c r="AI304" s="468">
        <v>42676</v>
      </c>
      <c r="AJ304" s="5" t="s">
        <v>3626</v>
      </c>
      <c r="AK304" s="5" t="s">
        <v>3625</v>
      </c>
    </row>
    <row r="305" spans="18:37">
      <c r="R305" s="5">
        <v>906</v>
      </c>
      <c r="S305" s="5" t="s">
        <v>2393</v>
      </c>
      <c r="T305" s="5" t="s">
        <v>2394</v>
      </c>
      <c r="U305" s="5">
        <v>40035</v>
      </c>
      <c r="V305" s="5" t="s">
        <v>4008</v>
      </c>
      <c r="W305" s="5" t="s">
        <v>4445</v>
      </c>
      <c r="AI305" s="468">
        <v>42677</v>
      </c>
      <c r="AJ305" s="5" t="s">
        <v>3628</v>
      </c>
      <c r="AK305" s="5" t="s">
        <v>3627</v>
      </c>
    </row>
    <row r="306" spans="18:37">
      <c r="R306" s="5">
        <v>907</v>
      </c>
      <c r="S306" s="5" t="s">
        <v>2422</v>
      </c>
      <c r="T306" s="5" t="s">
        <v>4131</v>
      </c>
      <c r="U306" s="5">
        <v>999999</v>
      </c>
      <c r="V306" s="5" t="s">
        <v>4014</v>
      </c>
      <c r="AI306" s="468">
        <v>42678</v>
      </c>
      <c r="AJ306" s="5" t="s">
        <v>3617</v>
      </c>
      <c r="AK306" s="5" t="s">
        <v>3618</v>
      </c>
    </row>
    <row r="307" spans="18:37">
      <c r="R307" s="5">
        <v>908</v>
      </c>
      <c r="S307" s="5" t="s">
        <v>3715</v>
      </c>
      <c r="T307" s="5" t="s">
        <v>3716</v>
      </c>
      <c r="W307" s="5" t="s">
        <v>4325</v>
      </c>
      <c r="AI307" s="468">
        <v>42679</v>
      </c>
      <c r="AJ307" s="5" t="s">
        <v>3619</v>
      </c>
      <c r="AK307" s="5" t="s">
        <v>3620</v>
      </c>
    </row>
    <row r="308" spans="18:37">
      <c r="R308" s="5">
        <v>909</v>
      </c>
      <c r="S308" s="5" t="s">
        <v>2540</v>
      </c>
      <c r="T308" s="5" t="s">
        <v>4132</v>
      </c>
      <c r="U308" s="5">
        <v>999999</v>
      </c>
      <c r="V308" s="5" t="s">
        <v>4014</v>
      </c>
      <c r="AI308" s="468">
        <v>42680</v>
      </c>
      <c r="AJ308" s="5" t="s">
        <v>3621</v>
      </c>
      <c r="AK308" s="5" t="s">
        <v>3622</v>
      </c>
    </row>
    <row r="309" spans="18:37">
      <c r="R309" s="5">
        <v>910</v>
      </c>
      <c r="S309" s="5" t="s">
        <v>2585</v>
      </c>
      <c r="T309" s="5" t="s">
        <v>4133</v>
      </c>
      <c r="U309" s="5">
        <v>999999</v>
      </c>
      <c r="V309" s="5" t="s">
        <v>4014</v>
      </c>
      <c r="AI309" s="468">
        <v>42681</v>
      </c>
      <c r="AJ309" s="5" t="s">
        <v>3579</v>
      </c>
      <c r="AK309" s="5" t="s">
        <v>3623</v>
      </c>
    </row>
    <row r="310" spans="18:37">
      <c r="R310" s="5">
        <v>911</v>
      </c>
      <c r="S310" s="5" t="s">
        <v>2270</v>
      </c>
      <c r="T310" s="5" t="s">
        <v>4134</v>
      </c>
      <c r="U310" s="5">
        <v>999999</v>
      </c>
      <c r="V310" s="5" t="s">
        <v>4014</v>
      </c>
      <c r="AI310" s="468">
        <v>42682</v>
      </c>
      <c r="AJ310" s="5" t="s">
        <v>3624</v>
      </c>
      <c r="AK310" s="5" t="s">
        <v>3625</v>
      </c>
    </row>
    <row r="311" spans="18:37">
      <c r="R311" s="5">
        <v>912</v>
      </c>
      <c r="S311" s="5" t="s">
        <v>2130</v>
      </c>
      <c r="T311" s="5" t="s">
        <v>2131</v>
      </c>
      <c r="U311" s="5">
        <v>10106</v>
      </c>
      <c r="V311" s="5" t="s">
        <v>3754</v>
      </c>
      <c r="W311" s="5" t="s">
        <v>4446</v>
      </c>
      <c r="AI311" s="468">
        <v>42683</v>
      </c>
      <c r="AJ311" s="5" t="s">
        <v>3626</v>
      </c>
      <c r="AK311" s="5" t="s">
        <v>3627</v>
      </c>
    </row>
    <row r="312" spans="18:37">
      <c r="R312" s="5">
        <v>913</v>
      </c>
      <c r="S312" s="5" t="s">
        <v>2275</v>
      </c>
      <c r="T312" s="5" t="s">
        <v>2276</v>
      </c>
      <c r="U312" s="5">
        <v>10115</v>
      </c>
      <c r="V312" s="5" t="s">
        <v>1767</v>
      </c>
      <c r="W312" s="5" t="s">
        <v>4447</v>
      </c>
      <c r="AI312" s="468">
        <v>42684</v>
      </c>
      <c r="AJ312" s="5" t="s">
        <v>3628</v>
      </c>
      <c r="AK312" s="5" t="s">
        <v>3618</v>
      </c>
    </row>
    <row r="313" spans="18:37">
      <c r="R313" s="5">
        <v>914</v>
      </c>
      <c r="S313" s="5" t="s">
        <v>2541</v>
      </c>
      <c r="T313" s="5" t="s">
        <v>4135</v>
      </c>
      <c r="U313" s="5">
        <v>999999</v>
      </c>
      <c r="V313" s="5" t="s">
        <v>4014</v>
      </c>
      <c r="AI313" s="468">
        <v>42685</v>
      </c>
      <c r="AJ313" s="5" t="s">
        <v>3617</v>
      </c>
      <c r="AK313" s="5" t="s">
        <v>3620</v>
      </c>
    </row>
    <row r="314" spans="18:37">
      <c r="R314" s="5">
        <v>915</v>
      </c>
      <c r="S314" s="5" t="s">
        <v>2217</v>
      </c>
      <c r="T314" s="5" t="s">
        <v>2218</v>
      </c>
      <c r="U314" s="5">
        <v>10002</v>
      </c>
      <c r="V314" s="5" t="s">
        <v>3764</v>
      </c>
      <c r="W314" s="5" t="s">
        <v>4448</v>
      </c>
      <c r="AI314" s="468">
        <v>42686</v>
      </c>
      <c r="AJ314" s="5" t="s">
        <v>3619</v>
      </c>
      <c r="AK314" s="5" t="s">
        <v>3622</v>
      </c>
    </row>
    <row r="315" spans="18:37">
      <c r="R315" s="5">
        <v>916</v>
      </c>
      <c r="S315" s="5" t="s">
        <v>2542</v>
      </c>
      <c r="T315" s="5" t="s">
        <v>4136</v>
      </c>
      <c r="U315" s="5">
        <v>999999</v>
      </c>
      <c r="V315" s="5" t="s">
        <v>4014</v>
      </c>
      <c r="AI315" s="468">
        <v>42687</v>
      </c>
      <c r="AJ315" s="5" t="s">
        <v>3621</v>
      </c>
      <c r="AK315" s="5" t="s">
        <v>3623</v>
      </c>
    </row>
    <row r="316" spans="18:37">
      <c r="R316" s="5">
        <v>917</v>
      </c>
      <c r="S316" s="5" t="s">
        <v>2543</v>
      </c>
      <c r="T316" s="5" t="s">
        <v>4137</v>
      </c>
      <c r="U316" s="5">
        <v>999999</v>
      </c>
      <c r="V316" s="5" t="s">
        <v>4014</v>
      </c>
      <c r="AI316" s="468">
        <v>42688</v>
      </c>
      <c r="AJ316" s="5" t="s">
        <v>3579</v>
      </c>
      <c r="AK316" s="5" t="s">
        <v>3625</v>
      </c>
    </row>
    <row r="317" spans="18:37">
      <c r="R317" s="5">
        <v>918</v>
      </c>
      <c r="S317" s="5" t="s">
        <v>2544</v>
      </c>
      <c r="T317" s="5" t="s">
        <v>4138</v>
      </c>
      <c r="U317" s="5">
        <v>999999</v>
      </c>
      <c r="V317" s="5" t="s">
        <v>4014</v>
      </c>
      <c r="AI317" s="468">
        <v>42689</v>
      </c>
      <c r="AJ317" s="5" t="s">
        <v>3624</v>
      </c>
      <c r="AK317" s="5" t="s">
        <v>3627</v>
      </c>
    </row>
    <row r="318" spans="18:37">
      <c r="R318" s="5">
        <v>919</v>
      </c>
      <c r="S318" s="5" t="s">
        <v>3717</v>
      </c>
      <c r="T318" s="5" t="s">
        <v>3718</v>
      </c>
      <c r="AI318" s="468">
        <v>42690</v>
      </c>
      <c r="AJ318" s="5" t="s">
        <v>3626</v>
      </c>
      <c r="AK318" s="5" t="s">
        <v>3618</v>
      </c>
    </row>
    <row r="319" spans="18:37">
      <c r="R319" s="5">
        <v>920</v>
      </c>
      <c r="S319" s="5" t="s">
        <v>1974</v>
      </c>
      <c r="T319" s="5" t="s">
        <v>1975</v>
      </c>
      <c r="U319" s="5">
        <v>10006</v>
      </c>
      <c r="V319" s="5" t="s">
        <v>1787</v>
      </c>
      <c r="W319" s="5" t="s">
        <v>4449</v>
      </c>
      <c r="AI319" s="468">
        <v>42691</v>
      </c>
      <c r="AJ319" s="5" t="s">
        <v>3628</v>
      </c>
      <c r="AK319" s="5" t="s">
        <v>3620</v>
      </c>
    </row>
    <row r="320" spans="18:37">
      <c r="R320" s="5">
        <v>921</v>
      </c>
      <c r="S320" s="5" t="s">
        <v>2225</v>
      </c>
      <c r="T320" s="5" t="s">
        <v>2226</v>
      </c>
      <c r="U320" s="5">
        <v>10017</v>
      </c>
      <c r="V320" s="5" t="s">
        <v>3978</v>
      </c>
      <c r="W320" s="5" t="s">
        <v>4450</v>
      </c>
      <c r="AI320" s="468">
        <v>42692</v>
      </c>
      <c r="AJ320" s="5" t="s">
        <v>3617</v>
      </c>
      <c r="AK320" s="5" t="s">
        <v>3622</v>
      </c>
    </row>
    <row r="321" spans="18:37">
      <c r="R321" s="5">
        <v>922</v>
      </c>
      <c r="S321" s="5" t="s">
        <v>2545</v>
      </c>
      <c r="T321" s="5" t="s">
        <v>4139</v>
      </c>
      <c r="U321" s="5">
        <v>999999</v>
      </c>
      <c r="V321" s="5" t="s">
        <v>4014</v>
      </c>
      <c r="AI321" s="468">
        <v>42693</v>
      </c>
      <c r="AJ321" s="5" t="s">
        <v>3619</v>
      </c>
      <c r="AK321" s="5" t="s">
        <v>3623</v>
      </c>
    </row>
    <row r="322" spans="18:37">
      <c r="R322" s="5">
        <v>923</v>
      </c>
      <c r="S322" s="5" t="s">
        <v>2379</v>
      </c>
      <c r="T322" s="5" t="s">
        <v>2380</v>
      </c>
      <c r="U322" s="5">
        <v>20016</v>
      </c>
      <c r="V322" s="5" t="s">
        <v>1758</v>
      </c>
      <c r="W322" s="5" t="s">
        <v>4451</v>
      </c>
      <c r="AI322" s="468">
        <v>42694</v>
      </c>
      <c r="AJ322" s="5" t="s">
        <v>3621</v>
      </c>
      <c r="AK322" s="5" t="s">
        <v>3625</v>
      </c>
    </row>
    <row r="323" spans="18:37">
      <c r="R323" s="5">
        <v>924</v>
      </c>
      <c r="S323" s="5" t="s">
        <v>2405</v>
      </c>
      <c r="T323" s="5" t="s">
        <v>2406</v>
      </c>
      <c r="U323" s="5">
        <v>10109</v>
      </c>
      <c r="V323" s="5" t="s">
        <v>3982</v>
      </c>
      <c r="W323" s="5" t="s">
        <v>4452</v>
      </c>
      <c r="AI323" s="468">
        <v>42695</v>
      </c>
      <c r="AJ323" s="5" t="s">
        <v>3579</v>
      </c>
      <c r="AK323" s="5" t="s">
        <v>3627</v>
      </c>
    </row>
    <row r="324" spans="18:37">
      <c r="R324" s="5">
        <v>925</v>
      </c>
      <c r="S324" s="5" t="s">
        <v>2246</v>
      </c>
      <c r="T324" s="5" t="s">
        <v>4140</v>
      </c>
      <c r="U324" s="5">
        <v>999999</v>
      </c>
      <c r="V324" s="5" t="s">
        <v>4014</v>
      </c>
      <c r="AI324" s="468">
        <v>42696</v>
      </c>
      <c r="AJ324" s="5" t="s">
        <v>3624</v>
      </c>
      <c r="AK324" s="5" t="s">
        <v>3618</v>
      </c>
    </row>
    <row r="325" spans="18:37">
      <c r="R325" s="5">
        <v>926</v>
      </c>
      <c r="S325" s="5" t="s">
        <v>1933</v>
      </c>
      <c r="T325" s="5" t="s">
        <v>1934</v>
      </c>
      <c r="U325" s="5">
        <v>10016</v>
      </c>
      <c r="V325" s="5" t="s">
        <v>3738</v>
      </c>
      <c r="W325" s="5" t="s">
        <v>4453</v>
      </c>
      <c r="AI325" s="468">
        <v>42697</v>
      </c>
      <c r="AJ325" s="5" t="s">
        <v>3626</v>
      </c>
      <c r="AK325" s="5" t="s">
        <v>3620</v>
      </c>
    </row>
    <row r="326" spans="18:37">
      <c r="R326" s="5">
        <v>927</v>
      </c>
      <c r="S326" s="5" t="s">
        <v>2245</v>
      </c>
      <c r="T326" s="5" t="s">
        <v>4141</v>
      </c>
      <c r="U326" s="5">
        <v>999999</v>
      </c>
      <c r="V326" s="5" t="s">
        <v>4014</v>
      </c>
      <c r="AI326" s="468">
        <v>42698</v>
      </c>
      <c r="AJ326" s="5" t="s">
        <v>3628</v>
      </c>
      <c r="AK326" s="5" t="s">
        <v>3622</v>
      </c>
    </row>
    <row r="327" spans="18:37">
      <c r="R327" s="5">
        <v>928</v>
      </c>
      <c r="S327" s="5" t="s">
        <v>2343</v>
      </c>
      <c r="T327" s="5" t="s">
        <v>4142</v>
      </c>
      <c r="U327" s="5">
        <v>999999</v>
      </c>
      <c r="V327" s="5" t="s">
        <v>4014</v>
      </c>
      <c r="AI327" s="468">
        <v>42699</v>
      </c>
      <c r="AJ327" s="5" t="s">
        <v>3617</v>
      </c>
      <c r="AK327" s="5" t="s">
        <v>3623</v>
      </c>
    </row>
    <row r="328" spans="18:37">
      <c r="R328" s="5">
        <v>929</v>
      </c>
      <c r="S328" s="5" t="s">
        <v>2584</v>
      </c>
      <c r="T328" s="5" t="s">
        <v>4143</v>
      </c>
      <c r="U328" s="5">
        <v>999999</v>
      </c>
      <c r="V328" s="5" t="s">
        <v>4014</v>
      </c>
      <c r="AI328" s="468">
        <v>42700</v>
      </c>
      <c r="AJ328" s="5" t="s">
        <v>3619</v>
      </c>
      <c r="AK328" s="5" t="s">
        <v>3625</v>
      </c>
    </row>
    <row r="329" spans="18:37">
      <c r="R329" s="5">
        <v>930</v>
      </c>
      <c r="S329" s="5" t="s">
        <v>2354</v>
      </c>
      <c r="T329" s="5" t="s">
        <v>4144</v>
      </c>
      <c r="U329" s="5">
        <v>999999</v>
      </c>
      <c r="V329" s="5" t="s">
        <v>4014</v>
      </c>
      <c r="AI329" s="468">
        <v>42701</v>
      </c>
      <c r="AJ329" s="5" t="s">
        <v>3621</v>
      </c>
      <c r="AK329" s="5" t="s">
        <v>3627</v>
      </c>
    </row>
    <row r="330" spans="18:37">
      <c r="R330" s="5">
        <v>931</v>
      </c>
      <c r="S330" s="5" t="s">
        <v>2556</v>
      </c>
      <c r="T330" s="5" t="s">
        <v>4145</v>
      </c>
      <c r="U330" s="5">
        <v>999999</v>
      </c>
      <c r="V330" s="5" t="s">
        <v>4014</v>
      </c>
      <c r="AI330" s="468">
        <v>42702</v>
      </c>
      <c r="AJ330" s="5" t="s">
        <v>3579</v>
      </c>
      <c r="AK330" s="5" t="s">
        <v>3618</v>
      </c>
    </row>
    <row r="331" spans="18:37">
      <c r="R331" s="5">
        <v>932</v>
      </c>
      <c r="S331" s="5" t="s">
        <v>2086</v>
      </c>
      <c r="T331" s="5" t="s">
        <v>2087</v>
      </c>
      <c r="U331" s="5">
        <v>10023</v>
      </c>
      <c r="V331" s="5" t="s">
        <v>4009</v>
      </c>
      <c r="W331" s="5" t="s">
        <v>2088</v>
      </c>
      <c r="AI331" s="468">
        <v>42703</v>
      </c>
      <c r="AJ331" s="5" t="s">
        <v>3624</v>
      </c>
      <c r="AK331" s="5" t="s">
        <v>3623</v>
      </c>
    </row>
    <row r="332" spans="18:37">
      <c r="R332" s="5">
        <v>933</v>
      </c>
      <c r="S332" s="5" t="s">
        <v>2247</v>
      </c>
      <c r="T332" s="5" t="s">
        <v>4146</v>
      </c>
      <c r="U332" s="5">
        <v>999999</v>
      </c>
      <c r="V332" s="5" t="s">
        <v>4014</v>
      </c>
      <c r="AI332" s="468">
        <v>42704</v>
      </c>
      <c r="AJ332" s="5" t="s">
        <v>3626</v>
      </c>
      <c r="AK332" s="5" t="s">
        <v>3625</v>
      </c>
    </row>
    <row r="333" spans="18:37">
      <c r="R333" s="5">
        <v>934</v>
      </c>
      <c r="S333" s="5" t="s">
        <v>2546</v>
      </c>
      <c r="T333" s="5" t="s">
        <v>4147</v>
      </c>
      <c r="U333" s="5">
        <v>999999</v>
      </c>
      <c r="V333" s="5" t="s">
        <v>4014</v>
      </c>
      <c r="AI333" s="468">
        <v>42705</v>
      </c>
      <c r="AJ333" s="5" t="s">
        <v>3628</v>
      </c>
      <c r="AK333" s="5" t="s">
        <v>3627</v>
      </c>
    </row>
    <row r="334" spans="18:37">
      <c r="R334" s="5">
        <v>935</v>
      </c>
      <c r="S334" s="5" t="s">
        <v>1990</v>
      </c>
      <c r="T334" s="5" t="s">
        <v>1991</v>
      </c>
      <c r="U334" s="5">
        <v>10105</v>
      </c>
      <c r="V334" s="5" t="s">
        <v>3755</v>
      </c>
      <c r="W334" s="5" t="s">
        <v>4454</v>
      </c>
      <c r="AI334" s="468">
        <v>42706</v>
      </c>
      <c r="AJ334" s="5" t="s">
        <v>3617</v>
      </c>
      <c r="AK334" s="5" t="s">
        <v>3618</v>
      </c>
    </row>
    <row r="335" spans="18:37">
      <c r="R335" s="5">
        <v>936</v>
      </c>
      <c r="S335" s="5" t="s">
        <v>2318</v>
      </c>
      <c r="T335" s="5" t="s">
        <v>2319</v>
      </c>
      <c r="U335" s="5">
        <v>10002</v>
      </c>
      <c r="V335" s="5" t="s">
        <v>3764</v>
      </c>
      <c r="W335" s="5" t="s">
        <v>4455</v>
      </c>
      <c r="AI335" s="468">
        <v>42707</v>
      </c>
      <c r="AJ335" s="5" t="s">
        <v>3619</v>
      </c>
      <c r="AK335" s="5" t="s">
        <v>3620</v>
      </c>
    </row>
    <row r="336" spans="18:37">
      <c r="R336" s="5">
        <v>937</v>
      </c>
      <c r="S336" s="5" t="s">
        <v>2445</v>
      </c>
      <c r="T336" s="5" t="s">
        <v>4148</v>
      </c>
      <c r="U336" s="5">
        <v>999999</v>
      </c>
      <c r="V336" s="5" t="s">
        <v>4014</v>
      </c>
      <c r="AI336" s="468">
        <v>42708</v>
      </c>
      <c r="AJ336" s="5" t="s">
        <v>3621</v>
      </c>
      <c r="AK336" s="5" t="s">
        <v>3622</v>
      </c>
    </row>
    <row r="337" spans="18:37">
      <c r="R337" s="5">
        <v>938</v>
      </c>
      <c r="S337" s="5" t="s">
        <v>2431</v>
      </c>
      <c r="T337" s="5" t="s">
        <v>2432</v>
      </c>
      <c r="U337" s="5">
        <v>40035</v>
      </c>
      <c r="V337" s="5" t="s">
        <v>4008</v>
      </c>
      <c r="W337" s="5" t="s">
        <v>2433</v>
      </c>
      <c r="AI337" s="468">
        <v>42709</v>
      </c>
      <c r="AJ337" s="5" t="s">
        <v>3579</v>
      </c>
      <c r="AK337" s="5" t="s">
        <v>3623</v>
      </c>
    </row>
    <row r="338" spans="18:37">
      <c r="R338" s="5">
        <v>939</v>
      </c>
      <c r="S338" s="5" t="s">
        <v>2223</v>
      </c>
      <c r="T338" s="5" t="s">
        <v>2224</v>
      </c>
      <c r="U338" s="5">
        <v>10104</v>
      </c>
      <c r="V338" s="5" t="s">
        <v>3980</v>
      </c>
      <c r="W338" s="5" t="s">
        <v>4456</v>
      </c>
      <c r="AI338" s="468">
        <v>42710</v>
      </c>
      <c r="AJ338" s="5" t="s">
        <v>3624</v>
      </c>
      <c r="AK338" s="5" t="s">
        <v>3625</v>
      </c>
    </row>
    <row r="339" spans="18:37">
      <c r="R339" s="5">
        <v>940</v>
      </c>
      <c r="S339" s="5" t="s">
        <v>2264</v>
      </c>
      <c r="T339" s="5" t="s">
        <v>4149</v>
      </c>
      <c r="U339" s="5">
        <v>999999</v>
      </c>
      <c r="V339" s="5" t="s">
        <v>4014</v>
      </c>
      <c r="AI339" s="468">
        <v>42711</v>
      </c>
      <c r="AJ339" s="5" t="s">
        <v>3626</v>
      </c>
      <c r="AK339" s="5" t="s">
        <v>3627</v>
      </c>
    </row>
    <row r="340" spans="18:37">
      <c r="R340" s="5">
        <v>941</v>
      </c>
      <c r="S340" s="5" t="s">
        <v>2124</v>
      </c>
      <c r="T340" s="5" t="s">
        <v>2125</v>
      </c>
      <c r="U340" s="5">
        <v>10071</v>
      </c>
      <c r="V340" s="5" t="s">
        <v>3748</v>
      </c>
      <c r="W340" s="5" t="s">
        <v>4457</v>
      </c>
      <c r="AI340" s="468">
        <v>42712</v>
      </c>
      <c r="AJ340" s="5" t="s">
        <v>3628</v>
      </c>
      <c r="AK340" s="5" t="s">
        <v>3618</v>
      </c>
    </row>
    <row r="341" spans="18:37">
      <c r="R341" s="5">
        <v>942</v>
      </c>
      <c r="S341" s="5" t="s">
        <v>2583</v>
      </c>
      <c r="T341" s="5" t="s">
        <v>4150</v>
      </c>
      <c r="U341" s="5">
        <v>999999</v>
      </c>
      <c r="V341" s="5" t="s">
        <v>4014</v>
      </c>
      <c r="AI341" s="468">
        <v>42713</v>
      </c>
      <c r="AJ341" s="5" t="s">
        <v>3617</v>
      </c>
      <c r="AK341" s="5" t="s">
        <v>3620</v>
      </c>
    </row>
    <row r="342" spans="18:37">
      <c r="R342" s="5">
        <v>943</v>
      </c>
      <c r="S342" s="5" t="s">
        <v>2287</v>
      </c>
      <c r="T342" s="5" t="s">
        <v>4151</v>
      </c>
      <c r="U342" s="5">
        <v>999999</v>
      </c>
      <c r="V342" s="5" t="s">
        <v>4014</v>
      </c>
      <c r="AI342" s="468">
        <v>42714</v>
      </c>
      <c r="AJ342" s="5" t="s">
        <v>3619</v>
      </c>
      <c r="AK342" s="5" t="s">
        <v>3622</v>
      </c>
    </row>
    <row r="343" spans="18:37">
      <c r="R343" s="5">
        <v>944</v>
      </c>
      <c r="S343" s="5" t="s">
        <v>2181</v>
      </c>
      <c r="T343" s="5" t="s">
        <v>4152</v>
      </c>
      <c r="U343" s="5">
        <v>999999</v>
      </c>
      <c r="V343" s="5" t="s">
        <v>4014</v>
      </c>
      <c r="AI343" s="468">
        <v>42715</v>
      </c>
      <c r="AJ343" s="5" t="s">
        <v>3621</v>
      </c>
      <c r="AK343" s="5" t="s">
        <v>3623</v>
      </c>
    </row>
    <row r="344" spans="18:37">
      <c r="R344" s="5">
        <v>945</v>
      </c>
      <c r="S344" s="5" t="s">
        <v>2547</v>
      </c>
      <c r="T344" s="5" t="s">
        <v>4153</v>
      </c>
      <c r="U344" s="5">
        <v>999999</v>
      </c>
      <c r="V344" s="5" t="s">
        <v>4014</v>
      </c>
      <c r="AI344" s="468">
        <v>42716</v>
      </c>
      <c r="AJ344" s="5" t="s">
        <v>3579</v>
      </c>
      <c r="AK344" s="5" t="s">
        <v>3625</v>
      </c>
    </row>
    <row r="345" spans="18:37">
      <c r="R345" s="5">
        <v>946</v>
      </c>
      <c r="S345" s="5" t="s">
        <v>2490</v>
      </c>
      <c r="T345" s="5" t="s">
        <v>4154</v>
      </c>
      <c r="U345" s="5">
        <v>999999</v>
      </c>
      <c r="V345" s="5" t="s">
        <v>4014</v>
      </c>
      <c r="AI345" s="468">
        <v>42717</v>
      </c>
      <c r="AJ345" s="5" t="s">
        <v>3624</v>
      </c>
      <c r="AK345" s="5" t="s">
        <v>3627</v>
      </c>
    </row>
    <row r="346" spans="18:37">
      <c r="R346" s="5">
        <v>947</v>
      </c>
      <c r="S346" s="5" t="s">
        <v>2055</v>
      </c>
      <c r="T346" s="5" t="s">
        <v>2056</v>
      </c>
      <c r="U346" s="5">
        <v>40016</v>
      </c>
      <c r="V346" s="5" t="s">
        <v>3967</v>
      </c>
      <c r="W346" s="5" t="s">
        <v>4458</v>
      </c>
      <c r="AI346" s="468">
        <v>42718</v>
      </c>
      <c r="AJ346" s="5" t="s">
        <v>3626</v>
      </c>
      <c r="AK346" s="5" t="s">
        <v>3618</v>
      </c>
    </row>
    <row r="347" spans="18:37">
      <c r="R347" s="5">
        <v>948</v>
      </c>
      <c r="S347" s="5" t="s">
        <v>2251</v>
      </c>
      <c r="T347" s="5" t="s">
        <v>4155</v>
      </c>
      <c r="U347" s="5">
        <v>999999</v>
      </c>
      <c r="V347" s="5" t="s">
        <v>4014</v>
      </c>
      <c r="AI347" s="468">
        <v>42719</v>
      </c>
      <c r="AJ347" s="5" t="s">
        <v>3628</v>
      </c>
      <c r="AK347" s="5" t="s">
        <v>3620</v>
      </c>
    </row>
    <row r="348" spans="18:37">
      <c r="R348" s="5">
        <v>949</v>
      </c>
      <c r="S348" s="5" t="s">
        <v>2376</v>
      </c>
      <c r="T348" s="5" t="s">
        <v>2377</v>
      </c>
      <c r="U348" s="5">
        <v>40012</v>
      </c>
      <c r="V348" s="5" t="s">
        <v>3965</v>
      </c>
      <c r="W348" s="5" t="s">
        <v>4459</v>
      </c>
      <c r="AI348" s="468">
        <v>42720</v>
      </c>
      <c r="AJ348" s="5" t="s">
        <v>3617</v>
      </c>
      <c r="AK348" s="5" t="s">
        <v>3622</v>
      </c>
    </row>
    <row r="349" spans="18:37">
      <c r="R349" s="5">
        <v>950</v>
      </c>
      <c r="S349" s="5" t="s">
        <v>2258</v>
      </c>
      <c r="T349" s="5" t="s">
        <v>4156</v>
      </c>
      <c r="U349" s="5">
        <v>999999</v>
      </c>
      <c r="V349" s="5" t="s">
        <v>4014</v>
      </c>
      <c r="AI349" s="468">
        <v>42721</v>
      </c>
      <c r="AJ349" s="5" t="s">
        <v>3619</v>
      </c>
      <c r="AK349" s="5" t="s">
        <v>3623</v>
      </c>
    </row>
    <row r="350" spans="18:37">
      <c r="R350" s="5">
        <v>951</v>
      </c>
      <c r="S350" s="5" t="s">
        <v>2582</v>
      </c>
      <c r="T350" s="5" t="s">
        <v>4157</v>
      </c>
      <c r="U350" s="5">
        <v>999999</v>
      </c>
      <c r="V350" s="5" t="s">
        <v>4014</v>
      </c>
      <c r="AI350" s="468">
        <v>42722</v>
      </c>
      <c r="AJ350" s="5" t="s">
        <v>3621</v>
      </c>
      <c r="AK350" s="5" t="s">
        <v>3625</v>
      </c>
    </row>
    <row r="351" spans="18:37">
      <c r="R351" s="5">
        <v>952</v>
      </c>
      <c r="S351" s="5" t="s">
        <v>2425</v>
      </c>
      <c r="T351" s="5" t="s">
        <v>2426</v>
      </c>
      <c r="U351" s="5">
        <v>10021</v>
      </c>
      <c r="V351" s="5" t="s">
        <v>1791</v>
      </c>
      <c r="W351" s="5" t="s">
        <v>4460</v>
      </c>
      <c r="AI351" s="468">
        <v>42723</v>
      </c>
      <c r="AJ351" s="5" t="s">
        <v>3579</v>
      </c>
      <c r="AK351" s="5" t="s">
        <v>3627</v>
      </c>
    </row>
    <row r="352" spans="18:37">
      <c r="R352" s="5">
        <v>953</v>
      </c>
      <c r="S352" s="5" t="s">
        <v>2252</v>
      </c>
      <c r="T352" s="5" t="s">
        <v>4158</v>
      </c>
      <c r="U352" s="5">
        <v>999999</v>
      </c>
      <c r="V352" s="5" t="s">
        <v>4014</v>
      </c>
      <c r="AI352" s="468">
        <v>42724</v>
      </c>
      <c r="AJ352" s="5" t="s">
        <v>3624</v>
      </c>
      <c r="AK352" s="5" t="s">
        <v>3618</v>
      </c>
    </row>
    <row r="353" spans="18:37">
      <c r="R353" s="5">
        <v>954</v>
      </c>
      <c r="S353" s="5" t="s">
        <v>2053</v>
      </c>
      <c r="T353" s="5" t="s">
        <v>2054</v>
      </c>
      <c r="U353" s="5">
        <v>30001</v>
      </c>
      <c r="V353" s="5" t="s">
        <v>3751</v>
      </c>
      <c r="W353" s="5" t="s">
        <v>4461</v>
      </c>
      <c r="AI353" s="468">
        <v>42725</v>
      </c>
      <c r="AJ353" s="5" t="s">
        <v>3626</v>
      </c>
      <c r="AK353" s="5" t="s">
        <v>3620</v>
      </c>
    </row>
    <row r="354" spans="18:37">
      <c r="R354" s="5">
        <v>955</v>
      </c>
      <c r="S354" s="5" t="s">
        <v>2051</v>
      </c>
      <c r="T354" s="5" t="s">
        <v>2052</v>
      </c>
      <c r="U354" s="5">
        <v>40015</v>
      </c>
      <c r="V354" s="5" t="s">
        <v>1814</v>
      </c>
      <c r="W354" s="5" t="s">
        <v>4462</v>
      </c>
      <c r="AI354" s="468">
        <v>42726</v>
      </c>
      <c r="AJ354" s="5" t="s">
        <v>3628</v>
      </c>
      <c r="AK354" s="5" t="s">
        <v>3622</v>
      </c>
    </row>
    <row r="355" spans="18:37">
      <c r="R355" s="5">
        <v>956</v>
      </c>
      <c r="S355" s="5" t="s">
        <v>2567</v>
      </c>
      <c r="T355" s="5" t="s">
        <v>4159</v>
      </c>
      <c r="U355" s="5">
        <v>999999</v>
      </c>
      <c r="V355" s="5" t="s">
        <v>4014</v>
      </c>
      <c r="AI355" s="468">
        <v>42727</v>
      </c>
      <c r="AJ355" s="5" t="s">
        <v>3617</v>
      </c>
      <c r="AK355" s="5" t="s">
        <v>3623</v>
      </c>
    </row>
    <row r="356" spans="18:37">
      <c r="R356" s="5">
        <v>957</v>
      </c>
      <c r="S356" s="5" t="s">
        <v>2552</v>
      </c>
      <c r="T356" s="5" t="s">
        <v>4160</v>
      </c>
      <c r="U356" s="5">
        <v>999999</v>
      </c>
      <c r="V356" s="5" t="s">
        <v>4014</v>
      </c>
      <c r="AI356" s="468">
        <v>42728</v>
      </c>
      <c r="AJ356" s="5" t="s">
        <v>3619</v>
      </c>
      <c r="AK356" s="5" t="s">
        <v>3625</v>
      </c>
    </row>
    <row r="357" spans="18:37">
      <c r="R357" s="5">
        <v>958</v>
      </c>
      <c r="S357" s="5" t="s">
        <v>2185</v>
      </c>
      <c r="T357" s="5" t="s">
        <v>2186</v>
      </c>
      <c r="U357" s="5">
        <v>10002</v>
      </c>
      <c r="V357" s="5" t="s">
        <v>3764</v>
      </c>
      <c r="W357" s="5" t="s">
        <v>4463</v>
      </c>
      <c r="AI357" s="468">
        <v>42729</v>
      </c>
      <c r="AJ357" s="5" t="s">
        <v>3621</v>
      </c>
      <c r="AK357" s="5" t="s">
        <v>3627</v>
      </c>
    </row>
    <row r="358" spans="18:37">
      <c r="R358" s="5">
        <v>959</v>
      </c>
      <c r="S358" s="5" t="s">
        <v>2448</v>
      </c>
      <c r="T358" s="5" t="s">
        <v>2449</v>
      </c>
      <c r="U358" s="5">
        <v>10017</v>
      </c>
      <c r="V358" s="5" t="s">
        <v>3978</v>
      </c>
      <c r="W358" s="5" t="s">
        <v>4464</v>
      </c>
      <c r="AI358" s="468">
        <v>42730</v>
      </c>
      <c r="AJ358" s="5" t="s">
        <v>3579</v>
      </c>
      <c r="AK358" s="5" t="s">
        <v>3618</v>
      </c>
    </row>
    <row r="359" spans="18:37">
      <c r="R359" s="5">
        <v>960</v>
      </c>
      <c r="S359" s="5" t="s">
        <v>2290</v>
      </c>
      <c r="T359" s="5" t="s">
        <v>2291</v>
      </c>
      <c r="U359" s="5">
        <v>20018</v>
      </c>
      <c r="V359" s="5" t="s">
        <v>1820</v>
      </c>
      <c r="W359" s="5" t="s">
        <v>4465</v>
      </c>
      <c r="AI359" s="468">
        <v>42731</v>
      </c>
      <c r="AJ359" s="5" t="s">
        <v>3624</v>
      </c>
      <c r="AK359" s="5" t="s">
        <v>3620</v>
      </c>
    </row>
    <row r="360" spans="18:37">
      <c r="R360" s="5">
        <v>961</v>
      </c>
      <c r="S360" s="5" t="s">
        <v>2549</v>
      </c>
      <c r="T360" s="5" t="s">
        <v>4161</v>
      </c>
      <c r="U360" s="5">
        <v>999999</v>
      </c>
      <c r="V360" s="5" t="s">
        <v>4014</v>
      </c>
      <c r="AI360" s="468">
        <v>42732</v>
      </c>
      <c r="AJ360" s="5" t="s">
        <v>3626</v>
      </c>
      <c r="AK360" s="5" t="s">
        <v>3622</v>
      </c>
    </row>
    <row r="361" spans="18:37">
      <c r="R361" s="5">
        <v>962</v>
      </c>
      <c r="S361" s="5" t="s">
        <v>2436</v>
      </c>
      <c r="T361" s="5" t="s">
        <v>4162</v>
      </c>
      <c r="U361" s="5">
        <v>999999</v>
      </c>
      <c r="V361" s="5" t="s">
        <v>4014</v>
      </c>
      <c r="AI361" s="468">
        <v>42733</v>
      </c>
      <c r="AJ361" s="5" t="s">
        <v>3628</v>
      </c>
      <c r="AK361" s="5" t="s">
        <v>3625</v>
      </c>
    </row>
    <row r="362" spans="18:37">
      <c r="R362" s="5">
        <v>963</v>
      </c>
      <c r="S362" s="5" t="s">
        <v>2249</v>
      </c>
      <c r="T362" s="5" t="s">
        <v>4163</v>
      </c>
      <c r="U362" s="5">
        <v>999999</v>
      </c>
      <c r="V362" s="5" t="s">
        <v>4014</v>
      </c>
      <c r="AI362" s="468">
        <v>42734</v>
      </c>
      <c r="AJ362" s="5" t="s">
        <v>3617</v>
      </c>
      <c r="AK362" s="5" t="s">
        <v>3627</v>
      </c>
    </row>
    <row r="363" spans="18:37">
      <c r="R363" s="5">
        <v>964</v>
      </c>
      <c r="S363" s="5" t="s">
        <v>2581</v>
      </c>
      <c r="T363" s="5" t="s">
        <v>4164</v>
      </c>
      <c r="U363" s="5">
        <v>999999</v>
      </c>
      <c r="V363" s="5" t="s">
        <v>4014</v>
      </c>
      <c r="AI363" s="468">
        <v>42735</v>
      </c>
      <c r="AJ363" s="5" t="s">
        <v>3619</v>
      </c>
      <c r="AK363" s="5" t="s">
        <v>3618</v>
      </c>
    </row>
    <row r="364" spans="18:37">
      <c r="R364" s="5">
        <v>965</v>
      </c>
      <c r="S364" s="5" t="s">
        <v>1971</v>
      </c>
      <c r="T364" s="5" t="s">
        <v>4165</v>
      </c>
      <c r="U364" s="5">
        <v>999999</v>
      </c>
      <c r="V364" s="5" t="s">
        <v>4014</v>
      </c>
      <c r="AI364" s="468">
        <v>42736</v>
      </c>
      <c r="AJ364" s="5" t="s">
        <v>3621</v>
      </c>
      <c r="AK364" s="5" t="s">
        <v>3620</v>
      </c>
    </row>
    <row r="365" spans="18:37">
      <c r="R365" s="5">
        <v>966</v>
      </c>
      <c r="S365" s="5" t="s">
        <v>2151</v>
      </c>
      <c r="T365" s="5" t="s">
        <v>2152</v>
      </c>
      <c r="U365" s="5" t="s">
        <v>3759</v>
      </c>
      <c r="V365" s="5" t="s">
        <v>3760</v>
      </c>
      <c r="W365" s="5" t="s">
        <v>4466</v>
      </c>
      <c r="AI365" s="468">
        <v>42737</v>
      </c>
      <c r="AJ365" s="5" t="s">
        <v>3579</v>
      </c>
      <c r="AK365" s="5" t="s">
        <v>3622</v>
      </c>
    </row>
    <row r="366" spans="18:37">
      <c r="R366" s="5">
        <v>967</v>
      </c>
      <c r="S366" s="5" t="s">
        <v>2248</v>
      </c>
      <c r="T366" s="5" t="s">
        <v>4166</v>
      </c>
      <c r="U366" s="5">
        <v>999999</v>
      </c>
      <c r="V366" s="5" t="s">
        <v>4014</v>
      </c>
      <c r="AI366" s="468">
        <v>42738</v>
      </c>
      <c r="AJ366" s="5" t="s">
        <v>3624</v>
      </c>
      <c r="AK366" s="5" t="s">
        <v>3623</v>
      </c>
    </row>
    <row r="367" spans="18:37">
      <c r="R367" s="5">
        <v>968</v>
      </c>
      <c r="S367" s="5" t="s">
        <v>2472</v>
      </c>
      <c r="T367" s="5" t="s">
        <v>4167</v>
      </c>
      <c r="U367" s="5">
        <v>999999</v>
      </c>
      <c r="V367" s="5" t="s">
        <v>4014</v>
      </c>
      <c r="AI367" s="468">
        <v>42739</v>
      </c>
      <c r="AJ367" s="5" t="s">
        <v>3626</v>
      </c>
      <c r="AK367" s="5" t="s">
        <v>3625</v>
      </c>
    </row>
    <row r="368" spans="18:37">
      <c r="R368" s="5">
        <v>969</v>
      </c>
      <c r="S368" s="5" t="s">
        <v>2479</v>
      </c>
      <c r="T368" s="5" t="s">
        <v>4168</v>
      </c>
      <c r="U368" s="5">
        <v>999999</v>
      </c>
      <c r="V368" s="5" t="s">
        <v>4014</v>
      </c>
      <c r="AI368" s="468">
        <v>42740</v>
      </c>
      <c r="AJ368" s="5" t="s">
        <v>3628</v>
      </c>
      <c r="AK368" s="5" t="s">
        <v>3627</v>
      </c>
    </row>
    <row r="369" spans="18:37">
      <c r="R369" s="5">
        <v>970</v>
      </c>
      <c r="S369" s="5" t="s">
        <v>2565</v>
      </c>
      <c r="T369" s="5" t="s">
        <v>2566</v>
      </c>
      <c r="U369" s="5">
        <v>10042</v>
      </c>
      <c r="V369" s="5" t="s">
        <v>3750</v>
      </c>
      <c r="W369" s="5" t="s">
        <v>4467</v>
      </c>
      <c r="AI369" s="468">
        <v>42741</v>
      </c>
      <c r="AJ369" s="5" t="s">
        <v>3617</v>
      </c>
      <c r="AK369" s="5" t="s">
        <v>3618</v>
      </c>
    </row>
    <row r="370" spans="18:37">
      <c r="R370" s="5">
        <v>971</v>
      </c>
      <c r="S370" s="5" t="s">
        <v>2482</v>
      </c>
      <c r="T370" s="5" t="s">
        <v>4169</v>
      </c>
      <c r="U370" s="5">
        <v>999999</v>
      </c>
      <c r="V370" s="5" t="s">
        <v>4014</v>
      </c>
      <c r="AI370" s="468">
        <v>42742</v>
      </c>
      <c r="AJ370" s="5" t="s">
        <v>3619</v>
      </c>
      <c r="AK370" s="5" t="s">
        <v>3620</v>
      </c>
    </row>
    <row r="371" spans="18:37">
      <c r="R371" s="5">
        <v>972</v>
      </c>
      <c r="S371" s="5" t="s">
        <v>2550</v>
      </c>
      <c r="T371" s="5" t="s">
        <v>4170</v>
      </c>
      <c r="U371" s="5">
        <v>999999</v>
      </c>
      <c r="V371" s="5" t="s">
        <v>4014</v>
      </c>
      <c r="AI371" s="468">
        <v>42743</v>
      </c>
      <c r="AJ371" s="5" t="s">
        <v>3621</v>
      </c>
      <c r="AK371" s="5" t="s">
        <v>3622</v>
      </c>
    </row>
    <row r="372" spans="18:37">
      <c r="R372" s="5">
        <v>973</v>
      </c>
      <c r="S372" s="5" t="s">
        <v>2427</v>
      </c>
      <c r="T372" s="5" t="s">
        <v>2428</v>
      </c>
      <c r="U372" s="5">
        <v>10115</v>
      </c>
      <c r="V372" s="5" t="s">
        <v>1767</v>
      </c>
      <c r="W372" s="5" t="s">
        <v>4468</v>
      </c>
      <c r="AI372" s="468">
        <v>42744</v>
      </c>
      <c r="AJ372" s="5" t="s">
        <v>3579</v>
      </c>
      <c r="AK372" s="5" t="s">
        <v>3623</v>
      </c>
    </row>
    <row r="373" spans="18:37">
      <c r="R373" s="5">
        <v>974</v>
      </c>
      <c r="S373" s="5" t="s">
        <v>2320</v>
      </c>
      <c r="T373" s="5" t="s">
        <v>1764</v>
      </c>
      <c r="U373" s="5">
        <v>10115</v>
      </c>
      <c r="V373" s="5" t="s">
        <v>1767</v>
      </c>
      <c r="W373" s="5" t="s">
        <v>4469</v>
      </c>
      <c r="AI373" s="468">
        <v>42745</v>
      </c>
      <c r="AJ373" s="5" t="s">
        <v>3624</v>
      </c>
      <c r="AK373" s="5" t="s">
        <v>3625</v>
      </c>
    </row>
    <row r="374" spans="18:37">
      <c r="R374" s="5">
        <v>975</v>
      </c>
      <c r="S374" s="5" t="s">
        <v>2390</v>
      </c>
      <c r="T374" s="5" t="s">
        <v>2391</v>
      </c>
      <c r="U374" s="5">
        <v>10107</v>
      </c>
      <c r="V374" s="5" t="s">
        <v>3753</v>
      </c>
      <c r="W374" s="5" t="s">
        <v>4470</v>
      </c>
      <c r="AI374" s="468">
        <v>42746</v>
      </c>
      <c r="AJ374" s="5" t="s">
        <v>3626</v>
      </c>
      <c r="AK374" s="5" t="s">
        <v>3627</v>
      </c>
    </row>
    <row r="375" spans="18:37">
      <c r="R375" s="5">
        <v>976</v>
      </c>
      <c r="S375" s="5" t="s">
        <v>2238</v>
      </c>
      <c r="T375" s="5" t="s">
        <v>2239</v>
      </c>
      <c r="U375" s="5">
        <v>10042</v>
      </c>
      <c r="V375" s="5" t="s">
        <v>3750</v>
      </c>
      <c r="W375" s="5" t="s">
        <v>4471</v>
      </c>
      <c r="AI375" s="468">
        <v>42747</v>
      </c>
      <c r="AJ375" s="5" t="s">
        <v>3628</v>
      </c>
      <c r="AK375" s="5" t="s">
        <v>3618</v>
      </c>
    </row>
    <row r="376" spans="18:37">
      <c r="R376" s="5">
        <v>977</v>
      </c>
      <c r="S376" s="5" t="s">
        <v>2481</v>
      </c>
      <c r="T376" s="5" t="s">
        <v>4171</v>
      </c>
      <c r="U376" s="5">
        <v>999999</v>
      </c>
      <c r="V376" s="5" t="s">
        <v>4014</v>
      </c>
      <c r="AI376" s="468">
        <v>42748</v>
      </c>
      <c r="AJ376" s="5" t="s">
        <v>3617</v>
      </c>
      <c r="AK376" s="5" t="s">
        <v>3620</v>
      </c>
    </row>
    <row r="377" spans="18:37">
      <c r="R377" s="5">
        <v>978</v>
      </c>
      <c r="S377" s="5" t="s">
        <v>2233</v>
      </c>
      <c r="T377" s="5" t="s">
        <v>2234</v>
      </c>
      <c r="U377" s="5">
        <v>10002</v>
      </c>
      <c r="V377" s="5" t="s">
        <v>3764</v>
      </c>
      <c r="W377" s="5" t="s">
        <v>4472</v>
      </c>
      <c r="AI377" s="468">
        <v>42749</v>
      </c>
      <c r="AJ377" s="5" t="s">
        <v>3619</v>
      </c>
      <c r="AK377" s="5" t="s">
        <v>3622</v>
      </c>
    </row>
    <row r="378" spans="18:37">
      <c r="R378" s="5">
        <v>979</v>
      </c>
      <c r="S378" s="5" t="s">
        <v>2177</v>
      </c>
      <c r="T378" s="5" t="s">
        <v>2178</v>
      </c>
      <c r="U378" s="5">
        <v>20021</v>
      </c>
      <c r="V378" s="5" t="s">
        <v>3988</v>
      </c>
      <c r="W378" s="5" t="s">
        <v>4473</v>
      </c>
      <c r="AI378" s="468">
        <v>42750</v>
      </c>
      <c r="AJ378" s="5" t="s">
        <v>3621</v>
      </c>
      <c r="AK378" s="5" t="s">
        <v>3623</v>
      </c>
    </row>
    <row r="379" spans="18:37">
      <c r="R379" s="5">
        <v>980</v>
      </c>
      <c r="S379" s="5" t="s">
        <v>2243</v>
      </c>
      <c r="T379" s="5" t="s">
        <v>4172</v>
      </c>
      <c r="U379" s="5">
        <v>999999</v>
      </c>
      <c r="V379" s="5" t="s">
        <v>4014</v>
      </c>
      <c r="AI379" s="468">
        <v>42751</v>
      </c>
      <c r="AJ379" s="5" t="s">
        <v>3579</v>
      </c>
      <c r="AK379" s="5" t="s">
        <v>3625</v>
      </c>
    </row>
    <row r="380" spans="18:37">
      <c r="R380" s="5">
        <v>981</v>
      </c>
      <c r="S380" s="5" t="s">
        <v>2450</v>
      </c>
      <c r="T380" s="5" t="s">
        <v>2451</v>
      </c>
      <c r="U380" s="5">
        <v>20013</v>
      </c>
      <c r="V380" s="5" t="s">
        <v>3972</v>
      </c>
      <c r="W380" s="5" t="s">
        <v>4474</v>
      </c>
      <c r="AI380" s="468">
        <v>42752</v>
      </c>
      <c r="AJ380" s="5" t="s">
        <v>3624</v>
      </c>
      <c r="AK380" s="5" t="s">
        <v>3627</v>
      </c>
    </row>
    <row r="381" spans="18:37">
      <c r="R381" s="5">
        <v>982</v>
      </c>
      <c r="S381" s="5" t="s">
        <v>2341</v>
      </c>
      <c r="T381" s="5" t="s">
        <v>2342</v>
      </c>
      <c r="U381" s="5">
        <v>10201</v>
      </c>
      <c r="V381" s="5" t="s">
        <v>3745</v>
      </c>
      <c r="W381" s="5" t="s">
        <v>4475</v>
      </c>
      <c r="AI381" s="468">
        <v>42753</v>
      </c>
      <c r="AJ381" s="5" t="s">
        <v>3626</v>
      </c>
      <c r="AK381" s="5" t="s">
        <v>3618</v>
      </c>
    </row>
    <row r="382" spans="18:37">
      <c r="R382" s="5">
        <v>983</v>
      </c>
      <c r="S382" s="5" t="s">
        <v>2242</v>
      </c>
      <c r="T382" s="5" t="s">
        <v>4173</v>
      </c>
      <c r="U382" s="5">
        <v>999999</v>
      </c>
      <c r="V382" s="5" t="s">
        <v>4014</v>
      </c>
      <c r="AI382" s="468">
        <v>42754</v>
      </c>
      <c r="AJ382" s="5" t="s">
        <v>3628</v>
      </c>
      <c r="AK382" s="5" t="s">
        <v>3620</v>
      </c>
    </row>
    <row r="383" spans="18:37">
      <c r="R383" s="5">
        <v>984</v>
      </c>
      <c r="S383" s="5" t="s">
        <v>1916</v>
      </c>
      <c r="T383" s="5" t="s">
        <v>1917</v>
      </c>
      <c r="U383" s="5">
        <v>10201</v>
      </c>
      <c r="V383" s="5" t="s">
        <v>3745</v>
      </c>
      <c r="W383" s="5" t="s">
        <v>4476</v>
      </c>
      <c r="AI383" s="468">
        <v>42755</v>
      </c>
      <c r="AJ383" s="5" t="s">
        <v>3617</v>
      </c>
      <c r="AK383" s="5" t="s">
        <v>3622</v>
      </c>
    </row>
    <row r="384" spans="18:37">
      <c r="R384" s="5">
        <v>986</v>
      </c>
      <c r="S384" s="5" t="s">
        <v>2486</v>
      </c>
      <c r="T384" s="5" t="s">
        <v>4174</v>
      </c>
      <c r="U384" s="5">
        <v>999999</v>
      </c>
      <c r="V384" s="5" t="s">
        <v>4014</v>
      </c>
      <c r="AI384" s="468">
        <v>42756</v>
      </c>
      <c r="AJ384" s="5" t="s">
        <v>3619</v>
      </c>
      <c r="AK384" s="5" t="s">
        <v>3623</v>
      </c>
    </row>
    <row r="385" spans="18:37">
      <c r="R385" s="5">
        <v>987</v>
      </c>
      <c r="S385" s="5" t="s">
        <v>2329</v>
      </c>
      <c r="T385" s="5" t="s">
        <v>2330</v>
      </c>
      <c r="U385" s="5">
        <v>10201</v>
      </c>
      <c r="V385" s="5" t="s">
        <v>3745</v>
      </c>
      <c r="W385" s="5" t="s">
        <v>4477</v>
      </c>
      <c r="AI385" s="468">
        <v>42757</v>
      </c>
      <c r="AJ385" s="5" t="s">
        <v>3621</v>
      </c>
      <c r="AK385" s="5" t="s">
        <v>3625</v>
      </c>
    </row>
    <row r="386" spans="18:37">
      <c r="R386" s="5">
        <v>988</v>
      </c>
      <c r="S386" s="5" t="s">
        <v>2205</v>
      </c>
      <c r="T386" s="5" t="s">
        <v>2206</v>
      </c>
      <c r="U386" s="5">
        <v>10201</v>
      </c>
      <c r="V386" s="5" t="s">
        <v>3745</v>
      </c>
      <c r="W386" s="5" t="s">
        <v>4478</v>
      </c>
      <c r="AI386" s="468">
        <v>42758</v>
      </c>
      <c r="AJ386" s="5" t="s">
        <v>3579</v>
      </c>
      <c r="AK386" s="5" t="s">
        <v>3627</v>
      </c>
    </row>
    <row r="387" spans="18:37">
      <c r="R387" s="5">
        <v>989</v>
      </c>
      <c r="S387" s="5" t="s">
        <v>1909</v>
      </c>
      <c r="T387" s="5" t="s">
        <v>4175</v>
      </c>
      <c r="U387" s="5">
        <v>999999</v>
      </c>
      <c r="V387" s="5" t="s">
        <v>4014</v>
      </c>
      <c r="AI387" s="468">
        <v>42759</v>
      </c>
      <c r="AJ387" s="5" t="s">
        <v>3624</v>
      </c>
      <c r="AK387" s="5" t="s">
        <v>3618</v>
      </c>
    </row>
    <row r="388" spans="18:37">
      <c r="R388" s="5">
        <v>990</v>
      </c>
      <c r="S388" s="5" t="s">
        <v>3719</v>
      </c>
      <c r="T388" s="5" t="s">
        <v>3720</v>
      </c>
      <c r="AI388" s="468">
        <v>42760</v>
      </c>
      <c r="AJ388" s="5" t="s">
        <v>3626</v>
      </c>
      <c r="AK388" s="5" t="s">
        <v>3620</v>
      </c>
    </row>
    <row r="389" spans="18:37">
      <c r="R389" s="5">
        <v>991</v>
      </c>
      <c r="S389" s="5" t="s">
        <v>1920</v>
      </c>
      <c r="T389" s="5" t="s">
        <v>4176</v>
      </c>
      <c r="U389" s="5">
        <v>999999</v>
      </c>
      <c r="V389" s="5" t="s">
        <v>4014</v>
      </c>
      <c r="AI389" s="468">
        <v>42761</v>
      </c>
      <c r="AJ389" s="5" t="s">
        <v>3628</v>
      </c>
      <c r="AK389" s="5" t="s">
        <v>3622</v>
      </c>
    </row>
    <row r="390" spans="18:37">
      <c r="R390" s="5">
        <v>992</v>
      </c>
      <c r="S390" s="5" t="s">
        <v>2122</v>
      </c>
      <c r="T390" s="5" t="s">
        <v>2123</v>
      </c>
      <c r="U390" s="5">
        <v>10002</v>
      </c>
      <c r="V390" s="5" t="s">
        <v>3764</v>
      </c>
      <c r="W390" s="5" t="s">
        <v>4479</v>
      </c>
      <c r="AI390" s="468">
        <v>42762</v>
      </c>
      <c r="AJ390" s="5" t="s">
        <v>3617</v>
      </c>
      <c r="AK390" s="5" t="s">
        <v>3623</v>
      </c>
    </row>
    <row r="391" spans="18:37">
      <c r="R391" s="5">
        <v>993</v>
      </c>
      <c r="S391" s="5" t="s">
        <v>2113</v>
      </c>
      <c r="T391" s="5" t="s">
        <v>2114</v>
      </c>
      <c r="U391" s="5">
        <v>10201</v>
      </c>
      <c r="V391" s="5" t="s">
        <v>3745</v>
      </c>
      <c r="W391" s="5" t="s">
        <v>4480</v>
      </c>
      <c r="AI391" s="468">
        <v>42763</v>
      </c>
      <c r="AJ391" s="5" t="s">
        <v>3619</v>
      </c>
      <c r="AK391" s="5" t="s">
        <v>3627</v>
      </c>
    </row>
    <row r="392" spans="18:37">
      <c r="R392" s="5">
        <v>994</v>
      </c>
      <c r="S392" s="5" t="s">
        <v>2288</v>
      </c>
      <c r="T392" s="5" t="s">
        <v>2289</v>
      </c>
      <c r="U392" s="5">
        <v>10201</v>
      </c>
      <c r="V392" s="5" t="s">
        <v>3745</v>
      </c>
      <c r="W392" s="5" t="s">
        <v>4481</v>
      </c>
      <c r="AI392" s="468">
        <v>42764</v>
      </c>
      <c r="AJ392" s="5" t="s">
        <v>3621</v>
      </c>
      <c r="AK392" s="5" t="s">
        <v>3618</v>
      </c>
    </row>
    <row r="393" spans="18:37">
      <c r="R393" s="5">
        <v>995</v>
      </c>
      <c r="S393" s="5" t="s">
        <v>3721</v>
      </c>
      <c r="T393" s="5" t="s">
        <v>3722</v>
      </c>
      <c r="W393" s="5" t="s">
        <v>4482</v>
      </c>
      <c r="AI393" s="468">
        <v>42765</v>
      </c>
      <c r="AJ393" s="5" t="s">
        <v>3579</v>
      </c>
      <c r="AK393" s="5" t="s">
        <v>3620</v>
      </c>
    </row>
    <row r="394" spans="18:37">
      <c r="R394" s="5">
        <v>996</v>
      </c>
      <c r="S394" s="5" t="s">
        <v>2175</v>
      </c>
      <c r="T394" s="5" t="s">
        <v>2176</v>
      </c>
      <c r="U394" s="5">
        <v>20021</v>
      </c>
      <c r="V394" s="5" t="s">
        <v>3988</v>
      </c>
      <c r="W394" s="5" t="s">
        <v>4483</v>
      </c>
      <c r="AI394" s="468">
        <v>42766</v>
      </c>
      <c r="AJ394" s="5" t="s">
        <v>3624</v>
      </c>
      <c r="AK394" s="5" t="s">
        <v>3622</v>
      </c>
    </row>
    <row r="395" spans="18:37">
      <c r="R395" s="5">
        <v>997</v>
      </c>
      <c r="S395" s="5" t="s">
        <v>2160</v>
      </c>
      <c r="T395" s="5" t="s">
        <v>2161</v>
      </c>
      <c r="U395" s="5">
        <v>20002</v>
      </c>
      <c r="V395" s="5" t="s">
        <v>1716</v>
      </c>
      <c r="W395" s="5" t="s">
        <v>4484</v>
      </c>
      <c r="AI395" s="468">
        <v>42767</v>
      </c>
      <c r="AJ395" s="5" t="s">
        <v>3626</v>
      </c>
      <c r="AK395" s="5" t="s">
        <v>3623</v>
      </c>
    </row>
    <row r="396" spans="18:37">
      <c r="R396" s="5">
        <v>998</v>
      </c>
      <c r="S396" s="5" t="s">
        <v>2031</v>
      </c>
      <c r="T396" s="5" t="s">
        <v>2032</v>
      </c>
      <c r="U396" s="5">
        <v>40017</v>
      </c>
      <c r="V396" s="5" t="s">
        <v>3765</v>
      </c>
      <c r="W396" s="5" t="s">
        <v>4485</v>
      </c>
      <c r="AI396" s="468">
        <v>42768</v>
      </c>
      <c r="AJ396" s="5" t="s">
        <v>3628</v>
      </c>
      <c r="AK396" s="5" t="s">
        <v>3625</v>
      </c>
    </row>
    <row r="397" spans="18:37">
      <c r="R397" s="5">
        <v>999</v>
      </c>
      <c r="S397" s="5" t="s">
        <v>2395</v>
      </c>
      <c r="T397" s="5" t="s">
        <v>4177</v>
      </c>
      <c r="U397" s="5">
        <v>999999</v>
      </c>
      <c r="V397" s="5" t="s">
        <v>4014</v>
      </c>
      <c r="AI397" s="468">
        <v>42769</v>
      </c>
      <c r="AJ397" s="5" t="s">
        <v>3617</v>
      </c>
      <c r="AK397" s="5" t="s">
        <v>3627</v>
      </c>
    </row>
    <row r="398" spans="18:37">
      <c r="R398" s="5">
        <v>1000</v>
      </c>
      <c r="S398" s="5" t="s">
        <v>2097</v>
      </c>
      <c r="T398" s="5" t="s">
        <v>2098</v>
      </c>
      <c r="U398" s="5">
        <v>40012</v>
      </c>
      <c r="V398" s="5" t="s">
        <v>3965</v>
      </c>
      <c r="W398" s="5" t="s">
        <v>4486</v>
      </c>
      <c r="AI398" s="468">
        <v>42770</v>
      </c>
      <c r="AJ398" s="5" t="s">
        <v>3619</v>
      </c>
      <c r="AK398" s="5" t="s">
        <v>3618</v>
      </c>
    </row>
    <row r="399" spans="18:37">
      <c r="R399" s="5">
        <v>1001</v>
      </c>
      <c r="S399" s="5" t="s">
        <v>2352</v>
      </c>
      <c r="T399" s="5" t="s">
        <v>2353</v>
      </c>
      <c r="U399" s="5">
        <v>40017</v>
      </c>
      <c r="V399" s="5" t="s">
        <v>3765</v>
      </c>
      <c r="W399" s="5" t="s">
        <v>4487</v>
      </c>
      <c r="AI399" s="468">
        <v>42771</v>
      </c>
      <c r="AJ399" s="5" t="s">
        <v>3621</v>
      </c>
      <c r="AK399" s="5" t="s">
        <v>3620</v>
      </c>
    </row>
    <row r="400" spans="18:37">
      <c r="R400" s="5">
        <v>1002</v>
      </c>
      <c r="S400" s="5" t="s">
        <v>2271</v>
      </c>
      <c r="T400" s="5" t="s">
        <v>2272</v>
      </c>
      <c r="U400" s="5">
        <v>10104</v>
      </c>
      <c r="V400" s="5" t="s">
        <v>3980</v>
      </c>
      <c r="W400" s="5" t="s">
        <v>4488</v>
      </c>
      <c r="AI400" s="468">
        <v>42772</v>
      </c>
      <c r="AJ400" s="5" t="s">
        <v>3579</v>
      </c>
      <c r="AK400" s="5" t="s">
        <v>3622</v>
      </c>
    </row>
    <row r="401" spans="18:37">
      <c r="R401" s="5">
        <v>1003</v>
      </c>
      <c r="S401" s="5" t="s">
        <v>2061</v>
      </c>
      <c r="T401" s="5" t="s">
        <v>4178</v>
      </c>
      <c r="U401" s="5">
        <v>999999</v>
      </c>
      <c r="V401" s="5" t="s">
        <v>4014</v>
      </c>
      <c r="AI401" s="468">
        <v>42773</v>
      </c>
      <c r="AJ401" s="5" t="s">
        <v>3624</v>
      </c>
      <c r="AK401" s="5" t="s">
        <v>3623</v>
      </c>
    </row>
    <row r="402" spans="18:37">
      <c r="R402" s="5">
        <v>1004</v>
      </c>
      <c r="S402" s="5" t="s">
        <v>2117</v>
      </c>
      <c r="T402" s="5" t="s">
        <v>4179</v>
      </c>
      <c r="U402" s="5">
        <v>999999</v>
      </c>
      <c r="V402" s="5" t="s">
        <v>4014</v>
      </c>
      <c r="AI402" s="468">
        <v>42774</v>
      </c>
      <c r="AJ402" s="5" t="s">
        <v>3626</v>
      </c>
      <c r="AK402" s="5" t="s">
        <v>3625</v>
      </c>
    </row>
    <row r="403" spans="18:37">
      <c r="R403" s="5">
        <v>1005</v>
      </c>
      <c r="S403" s="5" t="s">
        <v>2477</v>
      </c>
      <c r="T403" s="5" t="s">
        <v>4180</v>
      </c>
      <c r="U403" s="5">
        <v>999999</v>
      </c>
      <c r="V403" s="5" t="s">
        <v>4014</v>
      </c>
      <c r="AI403" s="468">
        <v>42775</v>
      </c>
      <c r="AJ403" s="5" t="s">
        <v>3628</v>
      </c>
      <c r="AK403" s="5" t="s">
        <v>3627</v>
      </c>
    </row>
    <row r="404" spans="18:37">
      <c r="R404" s="5">
        <v>1006</v>
      </c>
      <c r="S404" s="5" t="s">
        <v>2548</v>
      </c>
      <c r="T404" s="5" t="s">
        <v>4181</v>
      </c>
      <c r="U404" s="5">
        <v>999999</v>
      </c>
      <c r="V404" s="5" t="s">
        <v>4014</v>
      </c>
      <c r="AI404" s="468">
        <v>42776</v>
      </c>
      <c r="AJ404" s="5" t="s">
        <v>3617</v>
      </c>
      <c r="AK404" s="5" t="s">
        <v>3618</v>
      </c>
    </row>
    <row r="405" spans="18:37">
      <c r="R405" s="5">
        <v>1007</v>
      </c>
      <c r="S405" s="5" t="s">
        <v>2574</v>
      </c>
      <c r="T405" s="5" t="s">
        <v>2575</v>
      </c>
      <c r="U405" s="5">
        <v>10111</v>
      </c>
      <c r="V405" s="5" t="s">
        <v>3984</v>
      </c>
      <c r="W405" s="5" t="s">
        <v>4489</v>
      </c>
      <c r="AI405" s="468">
        <v>42777</v>
      </c>
      <c r="AJ405" s="5" t="s">
        <v>3619</v>
      </c>
      <c r="AK405" s="5" t="s">
        <v>3620</v>
      </c>
    </row>
    <row r="406" spans="18:37">
      <c r="R406" s="5">
        <v>1008</v>
      </c>
      <c r="S406" s="5" t="s">
        <v>2005</v>
      </c>
      <c r="T406" s="5" t="s">
        <v>2006</v>
      </c>
      <c r="U406" s="5">
        <v>10107</v>
      </c>
      <c r="V406" s="5" t="s">
        <v>3753</v>
      </c>
      <c r="W406" s="5" t="s">
        <v>4490</v>
      </c>
      <c r="AI406" s="468">
        <v>42778</v>
      </c>
      <c r="AJ406" s="5" t="s">
        <v>3621</v>
      </c>
      <c r="AK406" s="5" t="s">
        <v>3622</v>
      </c>
    </row>
    <row r="407" spans="18:37">
      <c r="R407" s="5">
        <v>1009</v>
      </c>
      <c r="S407" s="5" t="s">
        <v>2164</v>
      </c>
      <c r="T407" s="5" t="s">
        <v>2165</v>
      </c>
      <c r="U407" s="5">
        <v>10042</v>
      </c>
      <c r="V407" s="5" t="s">
        <v>3750</v>
      </c>
      <c r="W407" s="5" t="s">
        <v>4491</v>
      </c>
      <c r="AI407" s="468">
        <v>42779</v>
      </c>
      <c r="AJ407" s="5" t="s">
        <v>3579</v>
      </c>
      <c r="AK407" s="5" t="s">
        <v>3623</v>
      </c>
    </row>
    <row r="408" spans="18:37">
      <c r="R408" s="5">
        <v>1010</v>
      </c>
      <c r="S408" s="5" t="s">
        <v>2572</v>
      </c>
      <c r="T408" s="5" t="s">
        <v>2573</v>
      </c>
      <c r="U408" s="5">
        <v>10111</v>
      </c>
      <c r="V408" s="5" t="s">
        <v>3984</v>
      </c>
      <c r="W408" s="5" t="s">
        <v>4492</v>
      </c>
      <c r="AI408" s="468">
        <v>42780</v>
      </c>
      <c r="AJ408" s="5" t="s">
        <v>3624</v>
      </c>
      <c r="AK408" s="5" t="s">
        <v>3625</v>
      </c>
    </row>
    <row r="409" spans="18:37">
      <c r="R409" s="5">
        <v>1011</v>
      </c>
      <c r="S409" s="5" t="s">
        <v>2263</v>
      </c>
      <c r="T409" s="5" t="s">
        <v>4182</v>
      </c>
      <c r="U409" s="5">
        <v>999999</v>
      </c>
      <c r="V409" s="5" t="s">
        <v>4014</v>
      </c>
      <c r="AI409" s="468">
        <v>42781</v>
      </c>
      <c r="AJ409" s="5" t="s">
        <v>3626</v>
      </c>
      <c r="AK409" s="5" t="s">
        <v>3627</v>
      </c>
    </row>
    <row r="410" spans="18:37">
      <c r="R410" s="5">
        <v>1012</v>
      </c>
      <c r="S410" s="5" t="s">
        <v>2571</v>
      </c>
      <c r="T410" s="5" t="s">
        <v>4183</v>
      </c>
      <c r="U410" s="5">
        <v>999999</v>
      </c>
      <c r="V410" s="5" t="s">
        <v>4014</v>
      </c>
      <c r="AI410" s="468">
        <v>42782</v>
      </c>
      <c r="AJ410" s="5" t="s">
        <v>3628</v>
      </c>
      <c r="AK410" s="5" t="s">
        <v>3618</v>
      </c>
    </row>
    <row r="411" spans="18:37">
      <c r="R411" s="5">
        <v>1013</v>
      </c>
      <c r="S411" s="5" t="s">
        <v>2559</v>
      </c>
      <c r="T411" s="5" t="s">
        <v>2560</v>
      </c>
      <c r="U411" s="5">
        <v>10111</v>
      </c>
      <c r="V411" s="5" t="s">
        <v>3984</v>
      </c>
      <c r="W411" s="5" t="s">
        <v>4493</v>
      </c>
      <c r="AI411" s="468">
        <v>42783</v>
      </c>
      <c r="AJ411" s="5" t="s">
        <v>3617</v>
      </c>
      <c r="AK411" s="5" t="s">
        <v>3620</v>
      </c>
    </row>
    <row r="412" spans="18:37">
      <c r="R412" s="5">
        <v>1014</v>
      </c>
      <c r="S412" s="5" t="s">
        <v>2488</v>
      </c>
      <c r="T412" s="5" t="s">
        <v>4184</v>
      </c>
      <c r="U412" s="5">
        <v>999999</v>
      </c>
      <c r="V412" s="5" t="s">
        <v>4014</v>
      </c>
      <c r="AI412" s="468">
        <v>42784</v>
      </c>
      <c r="AJ412" s="5" t="s">
        <v>3619</v>
      </c>
      <c r="AK412" s="5" t="s">
        <v>3622</v>
      </c>
    </row>
    <row r="413" spans="18:37">
      <c r="R413" s="5">
        <v>1015</v>
      </c>
      <c r="S413" s="5" t="s">
        <v>2115</v>
      </c>
      <c r="T413" s="5" t="s">
        <v>2116</v>
      </c>
      <c r="U413" s="5">
        <v>10111</v>
      </c>
      <c r="V413" s="5" t="s">
        <v>3984</v>
      </c>
      <c r="W413" s="5" t="s">
        <v>4494</v>
      </c>
      <c r="AI413" s="468">
        <v>42785</v>
      </c>
      <c r="AJ413" s="5" t="s">
        <v>3621</v>
      </c>
      <c r="AK413" s="5" t="s">
        <v>3623</v>
      </c>
    </row>
    <row r="414" spans="18:37">
      <c r="R414" s="5">
        <v>1016</v>
      </c>
      <c r="S414" s="5" t="s">
        <v>2557</v>
      </c>
      <c r="T414" s="5" t="s">
        <v>2558</v>
      </c>
      <c r="U414" s="5">
        <v>10111</v>
      </c>
      <c r="V414" s="5" t="s">
        <v>3984</v>
      </c>
      <c r="W414" s="5" t="s">
        <v>4495</v>
      </c>
      <c r="AI414" s="468">
        <v>42786</v>
      </c>
      <c r="AJ414" s="5" t="s">
        <v>3579</v>
      </c>
      <c r="AK414" s="5" t="s">
        <v>3625</v>
      </c>
    </row>
    <row r="415" spans="18:37">
      <c r="R415" s="5">
        <v>1017</v>
      </c>
      <c r="S415" s="5" t="s">
        <v>2555</v>
      </c>
      <c r="T415" s="5" t="s">
        <v>4185</v>
      </c>
      <c r="U415" s="5">
        <v>999999</v>
      </c>
      <c r="V415" s="5" t="s">
        <v>4014</v>
      </c>
      <c r="AI415" s="468">
        <v>42787</v>
      </c>
      <c r="AJ415" s="5" t="s">
        <v>3624</v>
      </c>
      <c r="AK415" s="5" t="s">
        <v>3627</v>
      </c>
    </row>
    <row r="416" spans="18:37">
      <c r="R416" s="5">
        <v>1018</v>
      </c>
      <c r="S416" s="5" t="s">
        <v>2563</v>
      </c>
      <c r="T416" s="5" t="s">
        <v>2564</v>
      </c>
      <c r="U416" s="5">
        <v>10111</v>
      </c>
      <c r="V416" s="5" t="s">
        <v>3984</v>
      </c>
      <c r="W416" s="5" t="s">
        <v>4496</v>
      </c>
      <c r="AI416" s="468">
        <v>42788</v>
      </c>
      <c r="AJ416" s="5" t="s">
        <v>3626</v>
      </c>
      <c r="AK416" s="5" t="s">
        <v>3618</v>
      </c>
    </row>
    <row r="417" spans="18:37">
      <c r="R417" s="5">
        <v>1019</v>
      </c>
      <c r="S417" s="5" t="s">
        <v>2106</v>
      </c>
      <c r="T417" s="5" t="s">
        <v>2107</v>
      </c>
      <c r="U417" s="5">
        <v>10115</v>
      </c>
      <c r="V417" s="5" t="s">
        <v>1767</v>
      </c>
      <c r="W417" s="5" t="s">
        <v>4497</v>
      </c>
      <c r="AI417" s="468">
        <v>42789</v>
      </c>
      <c r="AJ417" s="5" t="s">
        <v>3628</v>
      </c>
      <c r="AK417" s="5" t="s">
        <v>3620</v>
      </c>
    </row>
    <row r="418" spans="18:37">
      <c r="R418" s="5">
        <v>1020</v>
      </c>
      <c r="S418" s="5" t="s">
        <v>1910</v>
      </c>
      <c r="T418" s="5" t="s">
        <v>1911</v>
      </c>
      <c r="U418" s="5">
        <v>40034</v>
      </c>
      <c r="V418" s="5" t="s">
        <v>4007</v>
      </c>
      <c r="W418" s="5" t="s">
        <v>4498</v>
      </c>
      <c r="AI418" s="468">
        <v>42790</v>
      </c>
      <c r="AJ418" s="5" t="s">
        <v>3617</v>
      </c>
      <c r="AK418" s="5" t="s">
        <v>3622</v>
      </c>
    </row>
    <row r="419" spans="18:37">
      <c r="R419" s="5">
        <v>1021</v>
      </c>
      <c r="S419" s="5" t="s">
        <v>2229</v>
      </c>
      <c r="T419" s="5" t="s">
        <v>2230</v>
      </c>
      <c r="U419" s="5">
        <v>10002</v>
      </c>
      <c r="V419" s="5" t="s">
        <v>3764</v>
      </c>
      <c r="W419" s="5" t="s">
        <v>4499</v>
      </c>
      <c r="AI419" s="468">
        <v>42791</v>
      </c>
      <c r="AJ419" s="5" t="s">
        <v>3619</v>
      </c>
      <c r="AK419" s="5" t="s">
        <v>3623</v>
      </c>
    </row>
    <row r="420" spans="18:37">
      <c r="R420" s="5">
        <v>1022</v>
      </c>
      <c r="S420" s="5" t="s">
        <v>2221</v>
      </c>
      <c r="T420" s="5" t="s">
        <v>2222</v>
      </c>
      <c r="U420" s="5" t="s">
        <v>3759</v>
      </c>
      <c r="V420" s="5" t="s">
        <v>3760</v>
      </c>
      <c r="W420" s="5" t="s">
        <v>4500</v>
      </c>
      <c r="AI420" s="468">
        <v>42792</v>
      </c>
      <c r="AJ420" s="5" t="s">
        <v>3621</v>
      </c>
      <c r="AK420" s="5" t="s">
        <v>3618</v>
      </c>
    </row>
    <row r="421" spans="18:37">
      <c r="R421" s="5">
        <v>1023</v>
      </c>
      <c r="S421" s="5" t="s">
        <v>2474</v>
      </c>
      <c r="T421" s="5" t="s">
        <v>2475</v>
      </c>
      <c r="U421" s="5">
        <v>20016</v>
      </c>
      <c r="V421" s="5" t="s">
        <v>1758</v>
      </c>
      <c r="W421" s="5" t="s">
        <v>4501</v>
      </c>
      <c r="AI421" s="468">
        <v>42793</v>
      </c>
      <c r="AJ421" s="5" t="s">
        <v>3579</v>
      </c>
      <c r="AK421" s="5" t="s">
        <v>3620</v>
      </c>
    </row>
    <row r="422" spans="18:37">
      <c r="R422" s="5">
        <v>1024</v>
      </c>
      <c r="S422" s="5" t="s">
        <v>2017</v>
      </c>
      <c r="T422" s="5" t="s">
        <v>2018</v>
      </c>
      <c r="U422" s="5">
        <v>10071</v>
      </c>
      <c r="V422" s="5" t="s">
        <v>3748</v>
      </c>
      <c r="W422" s="5" t="s">
        <v>4502</v>
      </c>
      <c r="AI422" s="468">
        <v>42794</v>
      </c>
      <c r="AJ422" s="5" t="s">
        <v>3624</v>
      </c>
      <c r="AK422" s="5" t="s">
        <v>3622</v>
      </c>
    </row>
    <row r="423" spans="18:37">
      <c r="R423" s="5">
        <v>1025</v>
      </c>
      <c r="S423" s="5" t="s">
        <v>2443</v>
      </c>
      <c r="T423" s="5" t="s">
        <v>2444</v>
      </c>
      <c r="U423" s="5">
        <v>10110</v>
      </c>
      <c r="V423" s="5" t="s">
        <v>3983</v>
      </c>
      <c r="W423" s="5" t="s">
        <v>4503</v>
      </c>
      <c r="AI423" s="468">
        <v>42795</v>
      </c>
      <c r="AJ423" s="5" t="s">
        <v>3626</v>
      </c>
      <c r="AK423" s="5" t="s">
        <v>3623</v>
      </c>
    </row>
    <row r="424" spans="18:37">
      <c r="R424" s="5">
        <v>1026</v>
      </c>
      <c r="S424" s="5" t="s">
        <v>2392</v>
      </c>
      <c r="T424" s="5" t="s">
        <v>4186</v>
      </c>
      <c r="U424" s="5">
        <v>999999</v>
      </c>
      <c r="V424" s="5" t="s">
        <v>4014</v>
      </c>
      <c r="AI424" s="468">
        <v>42796</v>
      </c>
      <c r="AJ424" s="5" t="s">
        <v>3628</v>
      </c>
      <c r="AK424" s="5" t="s">
        <v>3625</v>
      </c>
    </row>
    <row r="425" spans="18:37">
      <c r="R425" s="5">
        <v>1027</v>
      </c>
      <c r="S425" s="5" t="s">
        <v>2465</v>
      </c>
      <c r="T425" s="5" t="s">
        <v>2466</v>
      </c>
      <c r="U425" s="5">
        <v>10041</v>
      </c>
      <c r="V425" s="5" t="s">
        <v>3993</v>
      </c>
      <c r="W425" s="5" t="s">
        <v>4504</v>
      </c>
      <c r="AI425" s="468">
        <v>42797</v>
      </c>
      <c r="AJ425" s="5" t="s">
        <v>3617</v>
      </c>
      <c r="AK425" s="5" t="s">
        <v>3627</v>
      </c>
    </row>
    <row r="426" spans="18:37">
      <c r="R426" s="5">
        <v>1028</v>
      </c>
      <c r="S426" s="5" t="s">
        <v>3723</v>
      </c>
      <c r="T426" s="5" t="s">
        <v>3724</v>
      </c>
      <c r="W426" s="5" t="s">
        <v>4259</v>
      </c>
      <c r="AI426" s="468">
        <v>42798</v>
      </c>
      <c r="AJ426" s="5" t="s">
        <v>3619</v>
      </c>
      <c r="AK426" s="5" t="s">
        <v>3618</v>
      </c>
    </row>
    <row r="427" spans="18:37">
      <c r="R427" s="5">
        <v>1029</v>
      </c>
      <c r="S427" s="5" t="s">
        <v>2197</v>
      </c>
      <c r="T427" s="5" t="s">
        <v>2198</v>
      </c>
      <c r="U427" s="5">
        <v>10002</v>
      </c>
      <c r="V427" s="5" t="s">
        <v>3764</v>
      </c>
      <c r="W427" s="5" t="s">
        <v>4505</v>
      </c>
      <c r="AI427" s="468">
        <v>42799</v>
      </c>
      <c r="AJ427" s="5" t="s">
        <v>3621</v>
      </c>
      <c r="AK427" s="5" t="s">
        <v>3620</v>
      </c>
    </row>
    <row r="428" spans="18:37">
      <c r="R428" s="5">
        <v>1030</v>
      </c>
      <c r="S428" s="5" t="s">
        <v>2561</v>
      </c>
      <c r="T428" s="5" t="s">
        <v>2562</v>
      </c>
      <c r="U428" s="5">
        <v>10111</v>
      </c>
      <c r="V428" s="5" t="s">
        <v>3984</v>
      </c>
      <c r="W428" s="5" t="s">
        <v>4506</v>
      </c>
      <c r="AI428" s="468">
        <v>42800</v>
      </c>
      <c r="AJ428" s="5" t="s">
        <v>3579</v>
      </c>
      <c r="AK428" s="5" t="s">
        <v>3622</v>
      </c>
    </row>
    <row r="429" spans="18:37">
      <c r="R429" s="5">
        <v>1031</v>
      </c>
      <c r="S429" s="5" t="s">
        <v>2059</v>
      </c>
      <c r="T429" s="5" t="s">
        <v>2060</v>
      </c>
      <c r="U429" s="5">
        <v>20023</v>
      </c>
      <c r="V429" s="5" t="s">
        <v>3990</v>
      </c>
      <c r="W429" s="5" t="s">
        <v>4507</v>
      </c>
      <c r="AI429" s="468">
        <v>42801</v>
      </c>
      <c r="AJ429" s="5" t="s">
        <v>3624</v>
      </c>
      <c r="AK429" s="5" t="s">
        <v>3623</v>
      </c>
    </row>
    <row r="430" spans="18:37">
      <c r="R430" s="5">
        <v>1032</v>
      </c>
      <c r="S430" s="5" t="s">
        <v>2553</v>
      </c>
      <c r="T430" s="5" t="s">
        <v>4187</v>
      </c>
      <c r="U430" s="5">
        <v>999999</v>
      </c>
      <c r="V430" s="5" t="s">
        <v>4014</v>
      </c>
      <c r="AI430" s="468">
        <v>42802</v>
      </c>
      <c r="AJ430" s="5" t="s">
        <v>3626</v>
      </c>
      <c r="AK430" s="5" t="s">
        <v>3625</v>
      </c>
    </row>
    <row r="431" spans="18:37">
      <c r="R431" s="5">
        <v>1033</v>
      </c>
      <c r="S431" s="5" t="s">
        <v>2227</v>
      </c>
      <c r="T431" s="5" t="s">
        <v>2228</v>
      </c>
      <c r="U431" s="5">
        <v>10002</v>
      </c>
      <c r="V431" s="5" t="s">
        <v>3764</v>
      </c>
      <c r="W431" s="5" t="s">
        <v>4508</v>
      </c>
      <c r="AI431" s="468">
        <v>42803</v>
      </c>
      <c r="AJ431" s="5" t="s">
        <v>3628</v>
      </c>
      <c r="AK431" s="5" t="s">
        <v>3627</v>
      </c>
    </row>
    <row r="432" spans="18:37">
      <c r="R432" s="5">
        <v>1034</v>
      </c>
      <c r="S432" s="5" t="s">
        <v>1973</v>
      </c>
      <c r="T432" s="5" t="s">
        <v>4188</v>
      </c>
      <c r="U432" s="5">
        <v>999999</v>
      </c>
      <c r="V432" s="5" t="s">
        <v>4014</v>
      </c>
      <c r="AI432" s="468">
        <v>42804</v>
      </c>
      <c r="AJ432" s="5" t="s">
        <v>3617</v>
      </c>
      <c r="AK432" s="5" t="s">
        <v>3618</v>
      </c>
    </row>
    <row r="433" spans="18:37">
      <c r="R433" s="5">
        <v>1035</v>
      </c>
      <c r="S433" s="5" t="s">
        <v>1944</v>
      </c>
      <c r="T433" s="5" t="s">
        <v>1945</v>
      </c>
      <c r="U433" s="5">
        <v>10021</v>
      </c>
      <c r="V433" s="5" t="s">
        <v>1791</v>
      </c>
      <c r="W433" s="5" t="s">
        <v>4509</v>
      </c>
      <c r="AI433" s="468">
        <v>42805</v>
      </c>
      <c r="AJ433" s="5" t="s">
        <v>3619</v>
      </c>
      <c r="AK433" s="5" t="s">
        <v>3620</v>
      </c>
    </row>
    <row r="434" spans="18:37">
      <c r="R434" s="5">
        <v>1036</v>
      </c>
      <c r="S434" s="5" t="s">
        <v>3725</v>
      </c>
      <c r="T434" s="5" t="s">
        <v>3725</v>
      </c>
      <c r="AI434" s="468">
        <v>42806</v>
      </c>
      <c r="AJ434" s="5" t="s">
        <v>3621</v>
      </c>
      <c r="AK434" s="5" t="s">
        <v>3622</v>
      </c>
    </row>
    <row r="435" spans="18:37">
      <c r="R435" s="5">
        <v>1037</v>
      </c>
      <c r="S435" s="5" t="s">
        <v>2281</v>
      </c>
      <c r="T435" s="5" t="s">
        <v>2282</v>
      </c>
      <c r="U435" s="5">
        <v>10018</v>
      </c>
      <c r="V435" s="5" t="s">
        <v>1743</v>
      </c>
      <c r="W435" s="5" t="s">
        <v>4510</v>
      </c>
      <c r="AI435" s="468">
        <v>42807</v>
      </c>
      <c r="AJ435" s="5" t="s">
        <v>3579</v>
      </c>
      <c r="AK435" s="5" t="s">
        <v>3623</v>
      </c>
    </row>
    <row r="436" spans="18:37">
      <c r="R436" s="5">
        <v>1038</v>
      </c>
      <c r="S436" s="5" t="s">
        <v>2467</v>
      </c>
      <c r="T436" s="5" t="s">
        <v>2468</v>
      </c>
      <c r="U436" s="5">
        <v>10111</v>
      </c>
      <c r="V436" s="5" t="s">
        <v>3984</v>
      </c>
      <c r="W436" s="5" t="s">
        <v>4511</v>
      </c>
      <c r="AI436" s="468">
        <v>42808</v>
      </c>
      <c r="AJ436" s="5" t="s">
        <v>3624</v>
      </c>
      <c r="AK436" s="5" t="s">
        <v>3625</v>
      </c>
    </row>
    <row r="437" spans="18:37">
      <c r="R437" s="5">
        <v>1041</v>
      </c>
      <c r="S437" s="5" t="s">
        <v>2344</v>
      </c>
      <c r="T437" s="5" t="s">
        <v>2345</v>
      </c>
      <c r="U437" s="5">
        <v>10111</v>
      </c>
      <c r="V437" s="5" t="s">
        <v>3984</v>
      </c>
      <c r="W437" s="5" t="s">
        <v>4512</v>
      </c>
      <c r="AI437" s="468">
        <v>42809</v>
      </c>
      <c r="AJ437" s="5" t="s">
        <v>3626</v>
      </c>
      <c r="AK437" s="5" t="s">
        <v>3627</v>
      </c>
    </row>
    <row r="438" spans="18:37">
      <c r="R438" s="5">
        <v>1042</v>
      </c>
      <c r="S438" s="5" t="s">
        <v>2189</v>
      </c>
      <c r="T438" s="5" t="s">
        <v>2190</v>
      </c>
      <c r="U438" s="5">
        <v>10104</v>
      </c>
      <c r="V438" s="5" t="s">
        <v>3980</v>
      </c>
      <c r="W438" s="5" t="s">
        <v>4513</v>
      </c>
      <c r="AI438" s="468">
        <v>42810</v>
      </c>
      <c r="AJ438" s="5" t="s">
        <v>3628</v>
      </c>
      <c r="AK438" s="5" t="s">
        <v>3618</v>
      </c>
    </row>
    <row r="439" spans="18:37">
      <c r="R439" s="5">
        <v>1043</v>
      </c>
      <c r="S439" s="5" t="s">
        <v>2463</v>
      </c>
      <c r="T439" s="5" t="s">
        <v>2464</v>
      </c>
      <c r="U439" s="5">
        <v>10111</v>
      </c>
      <c r="V439" s="5" t="s">
        <v>3984</v>
      </c>
      <c r="W439" s="5" t="s">
        <v>4514</v>
      </c>
      <c r="AI439" s="468">
        <v>42811</v>
      </c>
      <c r="AJ439" s="5" t="s">
        <v>3617</v>
      </c>
      <c r="AK439" s="5" t="s">
        <v>3620</v>
      </c>
    </row>
    <row r="440" spans="18:37">
      <c r="R440" s="5">
        <v>1044</v>
      </c>
      <c r="S440" s="5" t="s">
        <v>2262</v>
      </c>
      <c r="T440" s="5" t="s">
        <v>4189</v>
      </c>
      <c r="U440" s="5">
        <v>999999</v>
      </c>
      <c r="V440" s="5" t="s">
        <v>4014</v>
      </c>
      <c r="AI440" s="468">
        <v>42812</v>
      </c>
      <c r="AJ440" s="5" t="s">
        <v>3619</v>
      </c>
      <c r="AK440" s="5" t="s">
        <v>3622</v>
      </c>
    </row>
    <row r="441" spans="18:37">
      <c r="R441" s="5">
        <v>1045</v>
      </c>
      <c r="S441" s="5" t="s">
        <v>1942</v>
      </c>
      <c r="T441" s="5" t="s">
        <v>1943</v>
      </c>
      <c r="U441" s="5">
        <v>10006</v>
      </c>
      <c r="V441" s="5" t="s">
        <v>1787</v>
      </c>
      <c r="W441" s="5" t="s">
        <v>4515</v>
      </c>
      <c r="AI441" s="468">
        <v>42813</v>
      </c>
      <c r="AJ441" s="5" t="s">
        <v>3621</v>
      </c>
      <c r="AK441" s="5" t="s">
        <v>3623</v>
      </c>
    </row>
    <row r="442" spans="18:37">
      <c r="R442" s="5">
        <v>1046</v>
      </c>
      <c r="S442" s="5" t="s">
        <v>2381</v>
      </c>
      <c r="T442" s="5" t="s">
        <v>2382</v>
      </c>
      <c r="U442" s="5">
        <v>10109</v>
      </c>
      <c r="V442" s="5" t="s">
        <v>3982</v>
      </c>
      <c r="W442" s="5" t="s">
        <v>4516</v>
      </c>
      <c r="AI442" s="468">
        <v>42814</v>
      </c>
      <c r="AJ442" s="5" t="s">
        <v>3579</v>
      </c>
      <c r="AK442" s="5" t="s">
        <v>3625</v>
      </c>
    </row>
    <row r="443" spans="18:37">
      <c r="R443" s="5">
        <v>1047</v>
      </c>
      <c r="S443" s="5" t="s">
        <v>2383</v>
      </c>
      <c r="T443" s="5" t="s">
        <v>4190</v>
      </c>
      <c r="U443" s="5">
        <v>999999</v>
      </c>
      <c r="V443" s="5" t="s">
        <v>4014</v>
      </c>
      <c r="AI443" s="468">
        <v>42815</v>
      </c>
      <c r="AJ443" s="5" t="s">
        <v>3624</v>
      </c>
      <c r="AK443" s="5" t="s">
        <v>3627</v>
      </c>
    </row>
    <row r="444" spans="18:37">
      <c r="R444" s="5">
        <v>1049</v>
      </c>
      <c r="S444" s="5" t="s">
        <v>2074</v>
      </c>
      <c r="T444" s="5" t="s">
        <v>4191</v>
      </c>
      <c r="U444" s="5">
        <v>999999</v>
      </c>
      <c r="V444" s="5" t="s">
        <v>4014</v>
      </c>
      <c r="AI444" s="468">
        <v>42816</v>
      </c>
      <c r="AJ444" s="5" t="s">
        <v>3626</v>
      </c>
      <c r="AK444" s="5" t="s">
        <v>3618</v>
      </c>
    </row>
    <row r="445" spans="18:37">
      <c r="R445" s="5">
        <v>1050</v>
      </c>
      <c r="S445" s="5" t="s">
        <v>2326</v>
      </c>
      <c r="T445" s="5" t="s">
        <v>2327</v>
      </c>
      <c r="U445" s="5">
        <v>10002</v>
      </c>
      <c r="V445" s="5" t="s">
        <v>3764</v>
      </c>
      <c r="W445" s="5" t="s">
        <v>4517</v>
      </c>
      <c r="AI445" s="468">
        <v>42817</v>
      </c>
      <c r="AJ445" s="5" t="s">
        <v>3628</v>
      </c>
      <c r="AK445" s="5" t="s">
        <v>3620</v>
      </c>
    </row>
    <row r="446" spans="18:37">
      <c r="R446" s="5">
        <v>1051</v>
      </c>
      <c r="S446" s="5" t="s">
        <v>2292</v>
      </c>
      <c r="T446" s="5" t="s">
        <v>2293</v>
      </c>
      <c r="U446" s="5">
        <v>10074</v>
      </c>
      <c r="V446" s="5" t="s">
        <v>3741</v>
      </c>
      <c r="W446" s="5" t="s">
        <v>4518</v>
      </c>
      <c r="AI446" s="468">
        <v>42818</v>
      </c>
      <c r="AJ446" s="5" t="s">
        <v>3617</v>
      </c>
      <c r="AK446" s="5" t="s">
        <v>3622</v>
      </c>
    </row>
    <row r="447" spans="18:37">
      <c r="R447" s="5">
        <v>1052</v>
      </c>
      <c r="S447" s="5" t="s">
        <v>2294</v>
      </c>
      <c r="T447" s="5" t="s">
        <v>2295</v>
      </c>
      <c r="U447" s="5">
        <v>10074</v>
      </c>
      <c r="V447" s="5" t="s">
        <v>3741</v>
      </c>
      <c r="W447" s="5" t="s">
        <v>4519</v>
      </c>
      <c r="AI447" s="468">
        <v>42819</v>
      </c>
      <c r="AJ447" s="5" t="s">
        <v>3619</v>
      </c>
      <c r="AK447" s="5" t="s">
        <v>3623</v>
      </c>
    </row>
    <row r="448" spans="18:37">
      <c r="R448" s="5">
        <v>1053</v>
      </c>
      <c r="S448" s="5" t="s">
        <v>2211</v>
      </c>
      <c r="T448" s="5" t="s">
        <v>2212</v>
      </c>
      <c r="U448" s="5">
        <v>10074</v>
      </c>
      <c r="V448" s="5" t="s">
        <v>3741</v>
      </c>
      <c r="W448" s="5" t="s">
        <v>4520</v>
      </c>
      <c r="AI448" s="468">
        <v>42820</v>
      </c>
      <c r="AJ448" s="5" t="s">
        <v>3621</v>
      </c>
      <c r="AK448" s="5" t="s">
        <v>3625</v>
      </c>
    </row>
    <row r="449" spans="18:37">
      <c r="R449" s="5">
        <v>1054</v>
      </c>
      <c r="S449" s="5" t="s">
        <v>2095</v>
      </c>
      <c r="T449" s="5" t="s">
        <v>2096</v>
      </c>
      <c r="U449" s="5">
        <v>10011</v>
      </c>
      <c r="V449" s="5" t="s">
        <v>3761</v>
      </c>
      <c r="W449" s="5" t="s">
        <v>4521</v>
      </c>
      <c r="AI449" s="468">
        <v>42821</v>
      </c>
      <c r="AJ449" s="5" t="s">
        <v>3579</v>
      </c>
      <c r="AK449" s="5" t="s">
        <v>3627</v>
      </c>
    </row>
    <row r="450" spans="18:37">
      <c r="R450" s="5">
        <v>1055</v>
      </c>
      <c r="S450" s="5" t="s">
        <v>2316</v>
      </c>
      <c r="T450" s="5" t="s">
        <v>2317</v>
      </c>
      <c r="U450" s="5">
        <v>30001</v>
      </c>
      <c r="V450" s="5" t="s">
        <v>3751</v>
      </c>
      <c r="W450" s="5" t="s">
        <v>4522</v>
      </c>
      <c r="AI450" s="468">
        <v>42822</v>
      </c>
      <c r="AJ450" s="5" t="s">
        <v>3624</v>
      </c>
      <c r="AK450" s="5" t="s">
        <v>3620</v>
      </c>
    </row>
    <row r="451" spans="18:37">
      <c r="R451" s="5">
        <v>1056</v>
      </c>
      <c r="S451" s="5" t="s">
        <v>2049</v>
      </c>
      <c r="T451" s="5" t="s">
        <v>2050</v>
      </c>
      <c r="U451" s="5">
        <v>40012</v>
      </c>
      <c r="V451" s="5" t="s">
        <v>3965</v>
      </c>
      <c r="W451" s="5" t="s">
        <v>4523</v>
      </c>
      <c r="AI451" s="468">
        <v>42823</v>
      </c>
      <c r="AJ451" s="5" t="s">
        <v>3626</v>
      </c>
      <c r="AK451" s="5" t="s">
        <v>3622</v>
      </c>
    </row>
    <row r="452" spans="18:37">
      <c r="R452" s="5">
        <v>1057</v>
      </c>
      <c r="S452" s="5" t="s">
        <v>2311</v>
      </c>
      <c r="T452" s="5" t="s">
        <v>2312</v>
      </c>
      <c r="U452" s="5">
        <v>40034</v>
      </c>
      <c r="V452" s="5" t="s">
        <v>4007</v>
      </c>
      <c r="W452" s="5" t="s">
        <v>4524</v>
      </c>
      <c r="AI452" s="468">
        <v>42824</v>
      </c>
      <c r="AJ452" s="5" t="s">
        <v>3628</v>
      </c>
      <c r="AK452" s="5" t="s">
        <v>3623</v>
      </c>
    </row>
    <row r="453" spans="18:37">
      <c r="R453" s="5">
        <v>1058</v>
      </c>
      <c r="S453" s="5" t="s">
        <v>2309</v>
      </c>
      <c r="T453" s="5" t="s">
        <v>2310</v>
      </c>
      <c r="U453" s="5">
        <v>40012</v>
      </c>
      <c r="V453" s="5" t="s">
        <v>3965</v>
      </c>
      <c r="W453" s="5" t="s">
        <v>4525</v>
      </c>
      <c r="AI453" s="468">
        <v>42825</v>
      </c>
      <c r="AJ453" s="5" t="s">
        <v>3617</v>
      </c>
      <c r="AK453" s="5" t="s">
        <v>3625</v>
      </c>
    </row>
    <row r="454" spans="18:37">
      <c r="R454" s="5">
        <v>1059</v>
      </c>
      <c r="S454" s="5" t="s">
        <v>2307</v>
      </c>
      <c r="T454" s="5" t="s">
        <v>2308</v>
      </c>
      <c r="U454" s="5">
        <v>10013</v>
      </c>
      <c r="V454" s="5" t="s">
        <v>1782</v>
      </c>
      <c r="W454" s="5" t="s">
        <v>4526</v>
      </c>
      <c r="AI454" s="468">
        <v>42826</v>
      </c>
      <c r="AJ454" s="5" t="s">
        <v>3619</v>
      </c>
      <c r="AK454" s="5" t="s">
        <v>3627</v>
      </c>
    </row>
    <row r="455" spans="18:37">
      <c r="R455" s="5">
        <v>1060</v>
      </c>
      <c r="S455" s="5" t="s">
        <v>2305</v>
      </c>
      <c r="T455" s="5" t="s">
        <v>2306</v>
      </c>
      <c r="U455" s="5">
        <v>10022</v>
      </c>
      <c r="V455" s="5" t="s">
        <v>1751</v>
      </c>
      <c r="W455" s="5" t="s">
        <v>4527</v>
      </c>
      <c r="AI455" s="468">
        <v>42827</v>
      </c>
      <c r="AJ455" s="5" t="s">
        <v>3621</v>
      </c>
      <c r="AK455" s="5" t="s">
        <v>3618</v>
      </c>
    </row>
    <row r="456" spans="18:37">
      <c r="R456" s="5">
        <v>1061</v>
      </c>
      <c r="S456" s="5" t="s">
        <v>2303</v>
      </c>
      <c r="T456" s="5" t="s">
        <v>2304</v>
      </c>
      <c r="U456" s="5">
        <v>10006</v>
      </c>
      <c r="V456" s="5" t="s">
        <v>1787</v>
      </c>
      <c r="W456" s="5" t="s">
        <v>4528</v>
      </c>
      <c r="AI456" s="468">
        <v>42828</v>
      </c>
      <c r="AJ456" s="5" t="s">
        <v>3579</v>
      </c>
      <c r="AK456" s="5" t="s">
        <v>3620</v>
      </c>
    </row>
    <row r="457" spans="18:37">
      <c r="R457" s="5">
        <v>1062</v>
      </c>
      <c r="S457" s="5" t="s">
        <v>2300</v>
      </c>
      <c r="T457" s="5" t="s">
        <v>2301</v>
      </c>
      <c r="U457" s="5">
        <v>10023</v>
      </c>
      <c r="V457" s="5" t="s">
        <v>4009</v>
      </c>
      <c r="W457" s="5" t="s">
        <v>2302</v>
      </c>
      <c r="AI457" s="468">
        <v>42829</v>
      </c>
      <c r="AJ457" s="5" t="s">
        <v>3624</v>
      </c>
      <c r="AK457" s="5" t="s">
        <v>3622</v>
      </c>
    </row>
    <row r="458" spans="18:37">
      <c r="R458" s="5">
        <v>1063</v>
      </c>
      <c r="S458" s="5" t="s">
        <v>2298</v>
      </c>
      <c r="T458" s="5" t="s">
        <v>2299</v>
      </c>
      <c r="U458" s="5">
        <v>10109</v>
      </c>
      <c r="V458" s="5" t="s">
        <v>3982</v>
      </c>
      <c r="W458" s="5" t="s">
        <v>4529</v>
      </c>
      <c r="AI458" s="468">
        <v>42830</v>
      </c>
      <c r="AJ458" s="5" t="s">
        <v>3626</v>
      </c>
      <c r="AK458" s="5" t="s">
        <v>3623</v>
      </c>
    </row>
    <row r="459" spans="18:37">
      <c r="R459" s="5">
        <v>1064</v>
      </c>
      <c r="S459" s="5" t="s">
        <v>2296</v>
      </c>
      <c r="T459" s="5" t="s">
        <v>2297</v>
      </c>
      <c r="U459" s="5">
        <v>20002</v>
      </c>
      <c r="V459" s="5" t="s">
        <v>1716</v>
      </c>
      <c r="W459" s="5" t="s">
        <v>4530</v>
      </c>
      <c r="AI459" s="468">
        <v>42831</v>
      </c>
      <c r="AJ459" s="5" t="s">
        <v>3628</v>
      </c>
      <c r="AK459" s="5" t="s">
        <v>3625</v>
      </c>
    </row>
    <row r="460" spans="18:37">
      <c r="R460" s="5">
        <v>1065</v>
      </c>
      <c r="S460" s="5" t="s">
        <v>2215</v>
      </c>
      <c r="T460" s="5" t="s">
        <v>2216</v>
      </c>
      <c r="U460" s="5">
        <v>10109</v>
      </c>
      <c r="V460" s="5" t="s">
        <v>3982</v>
      </c>
      <c r="W460" s="5" t="s">
        <v>4531</v>
      </c>
      <c r="AI460" s="468">
        <v>42832</v>
      </c>
      <c r="AJ460" s="5" t="s">
        <v>3617</v>
      </c>
      <c r="AK460" s="5" t="s">
        <v>3627</v>
      </c>
    </row>
    <row r="461" spans="18:37">
      <c r="R461" s="5">
        <v>1066</v>
      </c>
      <c r="S461" s="5" t="s">
        <v>1979</v>
      </c>
      <c r="T461" s="5" t="s">
        <v>1980</v>
      </c>
      <c r="U461" s="5">
        <v>10201</v>
      </c>
      <c r="V461" s="5" t="s">
        <v>3745</v>
      </c>
      <c r="W461" s="5" t="s">
        <v>4532</v>
      </c>
      <c r="AI461" s="468">
        <v>42833</v>
      </c>
      <c r="AJ461" s="5" t="s">
        <v>3619</v>
      </c>
      <c r="AK461" s="5" t="s">
        <v>3618</v>
      </c>
    </row>
    <row r="462" spans="18:37">
      <c r="R462" s="5">
        <v>1067</v>
      </c>
      <c r="S462" s="5" t="s">
        <v>1952</v>
      </c>
      <c r="T462" s="5" t="s">
        <v>1953</v>
      </c>
      <c r="U462" s="5">
        <v>10023</v>
      </c>
      <c r="V462" s="5" t="s">
        <v>4009</v>
      </c>
      <c r="W462" s="5" t="s">
        <v>1954</v>
      </c>
      <c r="AI462" s="468">
        <v>42834</v>
      </c>
      <c r="AJ462" s="5" t="s">
        <v>3621</v>
      </c>
      <c r="AK462" s="5" t="s">
        <v>3620</v>
      </c>
    </row>
    <row r="463" spans="18:37">
      <c r="R463" s="5">
        <v>1068</v>
      </c>
      <c r="S463" s="5" t="s">
        <v>1927</v>
      </c>
      <c r="T463" s="5" t="s">
        <v>1928</v>
      </c>
      <c r="U463" s="5">
        <v>40017</v>
      </c>
      <c r="V463" s="5" t="s">
        <v>3765</v>
      </c>
      <c r="W463" s="5" t="s">
        <v>4533</v>
      </c>
      <c r="AI463" s="468">
        <v>42835</v>
      </c>
      <c r="AJ463" s="5" t="s">
        <v>3579</v>
      </c>
      <c r="AK463" s="5" t="s">
        <v>3622</v>
      </c>
    </row>
    <row r="464" spans="18:37">
      <c r="R464" s="5">
        <v>1069</v>
      </c>
      <c r="S464" s="5" t="s">
        <v>2075</v>
      </c>
      <c r="T464" s="5" t="s">
        <v>2076</v>
      </c>
      <c r="U464" s="5">
        <v>10021</v>
      </c>
      <c r="V464" s="5" t="s">
        <v>1791</v>
      </c>
      <c r="W464" s="5" t="s">
        <v>4534</v>
      </c>
      <c r="AI464" s="468">
        <v>42836</v>
      </c>
      <c r="AJ464" s="5" t="s">
        <v>3624</v>
      </c>
      <c r="AK464" s="5" t="s">
        <v>3623</v>
      </c>
    </row>
    <row r="465" spans="18:37">
      <c r="R465" s="5">
        <v>1070</v>
      </c>
      <c r="S465" s="5" t="s">
        <v>1959</v>
      </c>
      <c r="T465" s="5" t="s">
        <v>4084</v>
      </c>
      <c r="U465" s="5">
        <v>999999</v>
      </c>
      <c r="V465" s="5" t="s">
        <v>4014</v>
      </c>
      <c r="AI465" s="468">
        <v>42837</v>
      </c>
      <c r="AJ465" s="5" t="s">
        <v>3626</v>
      </c>
      <c r="AK465" s="5" t="s">
        <v>3625</v>
      </c>
    </row>
    <row r="466" spans="18:37">
      <c r="R466" s="5">
        <v>1071</v>
      </c>
      <c r="S466" s="5" t="s">
        <v>1921</v>
      </c>
      <c r="T466" s="5" t="s">
        <v>1922</v>
      </c>
      <c r="U466" s="5" t="s">
        <v>3743</v>
      </c>
      <c r="V466" s="5" t="s">
        <v>3744</v>
      </c>
      <c r="W466" s="5" t="s">
        <v>4535</v>
      </c>
      <c r="AI466" s="468">
        <v>42838</v>
      </c>
      <c r="AJ466" s="5" t="s">
        <v>3628</v>
      </c>
      <c r="AK466" s="5" t="s">
        <v>3627</v>
      </c>
    </row>
    <row r="467" spans="18:37">
      <c r="R467" s="5">
        <v>1072</v>
      </c>
      <c r="S467" s="5" t="s">
        <v>1960</v>
      </c>
      <c r="T467" s="5" t="s">
        <v>1961</v>
      </c>
      <c r="U467" s="5" t="s">
        <v>3743</v>
      </c>
      <c r="V467" s="5" t="s">
        <v>3744</v>
      </c>
      <c r="W467" s="5" t="s">
        <v>4536</v>
      </c>
      <c r="AI467" s="468">
        <v>42839</v>
      </c>
      <c r="AJ467" s="5" t="s">
        <v>3617</v>
      </c>
      <c r="AK467" s="5" t="s">
        <v>3618</v>
      </c>
    </row>
    <row r="468" spans="18:37">
      <c r="R468" s="5">
        <v>1073</v>
      </c>
      <c r="S468" s="5" t="s">
        <v>3726</v>
      </c>
      <c r="T468" s="5" t="s">
        <v>4192</v>
      </c>
      <c r="U468" s="5">
        <v>999999</v>
      </c>
      <c r="V468" s="5" t="s">
        <v>4014</v>
      </c>
      <c r="AI468" s="468">
        <v>42840</v>
      </c>
      <c r="AJ468" s="5" t="s">
        <v>3619</v>
      </c>
      <c r="AK468" s="5" t="s">
        <v>3620</v>
      </c>
    </row>
    <row r="469" spans="18:37">
      <c r="R469" s="5">
        <v>1074</v>
      </c>
      <c r="S469" s="5" t="s">
        <v>3727</v>
      </c>
      <c r="T469" s="5" t="s">
        <v>3728</v>
      </c>
      <c r="U469" s="5">
        <v>10016</v>
      </c>
      <c r="V469" s="5" t="s">
        <v>3738</v>
      </c>
      <c r="W469" s="5" t="s">
        <v>4537</v>
      </c>
      <c r="AI469" s="468">
        <v>42841</v>
      </c>
      <c r="AJ469" s="5" t="s">
        <v>3621</v>
      </c>
      <c r="AK469" s="5" t="s">
        <v>3622</v>
      </c>
    </row>
    <row r="470" spans="18:37">
      <c r="R470" s="5">
        <v>1075</v>
      </c>
      <c r="S470" s="5" t="s">
        <v>3729</v>
      </c>
      <c r="T470" s="5" t="s">
        <v>3730</v>
      </c>
      <c r="U470" s="5">
        <v>20014</v>
      </c>
      <c r="V470" s="5" t="s">
        <v>3973</v>
      </c>
      <c r="W470" s="5" t="s">
        <v>4538</v>
      </c>
      <c r="AI470" s="468">
        <v>42842</v>
      </c>
      <c r="AJ470" s="5" t="s">
        <v>3579</v>
      </c>
      <c r="AK470" s="5" t="s">
        <v>3623</v>
      </c>
    </row>
    <row r="471" spans="18:37">
      <c r="R471" s="5">
        <v>1076</v>
      </c>
      <c r="S471" s="5" t="s">
        <v>3731</v>
      </c>
      <c r="T471" s="5" t="s">
        <v>4193</v>
      </c>
      <c r="U471" s="5">
        <v>999999</v>
      </c>
      <c r="V471" s="5" t="s">
        <v>4014</v>
      </c>
      <c r="AI471" s="468">
        <v>42843</v>
      </c>
      <c r="AJ471" s="5" t="s">
        <v>3624</v>
      </c>
      <c r="AK471" s="5" t="s">
        <v>3625</v>
      </c>
    </row>
    <row r="472" spans="18:37">
      <c r="R472" s="5">
        <v>1077</v>
      </c>
      <c r="S472" s="5" t="s">
        <v>3870</v>
      </c>
      <c r="T472" s="5" t="s">
        <v>3871</v>
      </c>
      <c r="U472" s="5">
        <v>10071</v>
      </c>
      <c r="V472" s="5" t="s">
        <v>3748</v>
      </c>
      <c r="W472" s="5" t="s">
        <v>4539</v>
      </c>
      <c r="AI472" s="468">
        <v>42844</v>
      </c>
      <c r="AJ472" s="5" t="s">
        <v>3626</v>
      </c>
      <c r="AK472" s="5" t="s">
        <v>3627</v>
      </c>
    </row>
    <row r="473" spans="18:37">
      <c r="R473" s="5">
        <v>1078</v>
      </c>
      <c r="S473" s="5" t="s">
        <v>3872</v>
      </c>
      <c r="T473" s="5" t="s">
        <v>3873</v>
      </c>
      <c r="U473" s="5">
        <v>10021</v>
      </c>
      <c r="V473" s="5" t="s">
        <v>1791</v>
      </c>
      <c r="W473" s="5" t="s">
        <v>4540</v>
      </c>
      <c r="AI473" s="468">
        <v>42845</v>
      </c>
      <c r="AJ473" s="5" t="s">
        <v>3628</v>
      </c>
      <c r="AK473" s="5" t="s">
        <v>3618</v>
      </c>
    </row>
    <row r="474" spans="18:37">
      <c r="R474" s="5">
        <v>1079</v>
      </c>
      <c r="S474" s="5" t="s">
        <v>3874</v>
      </c>
      <c r="T474" s="5" t="s">
        <v>3875</v>
      </c>
      <c r="U474" s="5">
        <v>10071</v>
      </c>
      <c r="V474" s="5" t="s">
        <v>3748</v>
      </c>
      <c r="W474" s="5" t="s">
        <v>4541</v>
      </c>
      <c r="AI474" s="468">
        <v>42846</v>
      </c>
      <c r="AJ474" s="5" t="s">
        <v>3617</v>
      </c>
      <c r="AK474" s="5" t="s">
        <v>3620</v>
      </c>
    </row>
    <row r="475" spans="18:37">
      <c r="R475" s="5">
        <v>1080</v>
      </c>
      <c r="S475" s="5" t="s">
        <v>3876</v>
      </c>
      <c r="T475" s="5" t="s">
        <v>3877</v>
      </c>
      <c r="U475" s="5">
        <v>40012</v>
      </c>
      <c r="V475" s="5" t="s">
        <v>3965</v>
      </c>
      <c r="W475" s="5" t="s">
        <v>4542</v>
      </c>
      <c r="AI475" s="468">
        <v>42847</v>
      </c>
      <c r="AJ475" s="5" t="s">
        <v>3619</v>
      </c>
      <c r="AK475" s="5" t="s">
        <v>3622</v>
      </c>
    </row>
    <row r="476" spans="18:37">
      <c r="R476" s="5">
        <v>1081</v>
      </c>
      <c r="S476" s="5" t="s">
        <v>3878</v>
      </c>
      <c r="T476" s="5" t="s">
        <v>3879</v>
      </c>
      <c r="U476" s="5">
        <v>10016</v>
      </c>
      <c r="V476" s="5" t="s">
        <v>3738</v>
      </c>
      <c r="W476" s="5" t="s">
        <v>4543</v>
      </c>
      <c r="AI476" s="468">
        <v>42848</v>
      </c>
      <c r="AJ476" s="5" t="s">
        <v>3621</v>
      </c>
      <c r="AK476" s="5" t="s">
        <v>3623</v>
      </c>
    </row>
    <row r="477" spans="18:37">
      <c r="R477" s="5">
        <v>1082</v>
      </c>
      <c r="S477" s="5" t="s">
        <v>3880</v>
      </c>
      <c r="T477" s="5" t="s">
        <v>3881</v>
      </c>
      <c r="U477" s="5">
        <v>10002</v>
      </c>
      <c r="V477" s="5" t="s">
        <v>3764</v>
      </c>
      <c r="W477" s="5" t="s">
        <v>4544</v>
      </c>
      <c r="AI477" s="468">
        <v>42849</v>
      </c>
      <c r="AJ477" s="5" t="s">
        <v>3579</v>
      </c>
      <c r="AK477" s="5" t="s">
        <v>3625</v>
      </c>
    </row>
    <row r="478" spans="18:37">
      <c r="R478" s="5">
        <v>1083</v>
      </c>
      <c r="S478" s="5" t="s">
        <v>3882</v>
      </c>
      <c r="T478" s="5" t="s">
        <v>3883</v>
      </c>
      <c r="U478" s="5">
        <v>10002</v>
      </c>
      <c r="V478" s="5" t="s">
        <v>3764</v>
      </c>
      <c r="W478" s="5" t="s">
        <v>4545</v>
      </c>
      <c r="AI478" s="468">
        <v>42850</v>
      </c>
      <c r="AJ478" s="5" t="s">
        <v>3624</v>
      </c>
      <c r="AK478" s="5" t="s">
        <v>3627</v>
      </c>
    </row>
    <row r="479" spans="18:37">
      <c r="R479" s="5">
        <v>1084</v>
      </c>
      <c r="S479" s="5" t="s">
        <v>3884</v>
      </c>
      <c r="T479" s="5" t="s">
        <v>3885</v>
      </c>
      <c r="U479" s="5">
        <v>40015</v>
      </c>
      <c r="V479" s="5" t="s">
        <v>1814</v>
      </c>
      <c r="W479" s="5" t="s">
        <v>4546</v>
      </c>
      <c r="AI479" s="468">
        <v>42851</v>
      </c>
      <c r="AJ479" s="5" t="s">
        <v>3626</v>
      </c>
      <c r="AK479" s="5" t="s">
        <v>3622</v>
      </c>
    </row>
    <row r="480" spans="18:37">
      <c r="R480" s="5">
        <v>1085</v>
      </c>
      <c r="S480" s="5" t="s">
        <v>3886</v>
      </c>
      <c r="T480" s="5" t="s">
        <v>3887</v>
      </c>
      <c r="U480" s="5">
        <v>10021</v>
      </c>
      <c r="V480" s="5" t="s">
        <v>1791</v>
      </c>
      <c r="W480" s="5" t="s">
        <v>4547</v>
      </c>
      <c r="AI480" s="468">
        <v>42852</v>
      </c>
      <c r="AJ480" s="5" t="s">
        <v>3628</v>
      </c>
      <c r="AK480" s="5" t="s">
        <v>3623</v>
      </c>
    </row>
    <row r="481" spans="18:37">
      <c r="R481" s="5">
        <v>1086</v>
      </c>
      <c r="S481" s="5" t="s">
        <v>3888</v>
      </c>
      <c r="T481" s="5" t="s">
        <v>4194</v>
      </c>
      <c r="U481" s="5">
        <v>999999</v>
      </c>
      <c r="V481" s="5" t="s">
        <v>4014</v>
      </c>
      <c r="AI481" s="468">
        <v>42853</v>
      </c>
      <c r="AJ481" s="5" t="s">
        <v>3617</v>
      </c>
      <c r="AK481" s="5" t="s">
        <v>3625</v>
      </c>
    </row>
    <row r="482" spans="18:37">
      <c r="R482" s="5">
        <v>1087</v>
      </c>
      <c r="S482" s="5" t="s">
        <v>3889</v>
      </c>
      <c r="T482" s="5" t="s">
        <v>3890</v>
      </c>
      <c r="U482" s="5" t="s">
        <v>3743</v>
      </c>
      <c r="V482" s="5" t="s">
        <v>3744</v>
      </c>
      <c r="W482" s="5" t="s">
        <v>4548</v>
      </c>
      <c r="AI482" s="468">
        <v>42854</v>
      </c>
      <c r="AJ482" s="5" t="s">
        <v>3619</v>
      </c>
      <c r="AK482" s="5" t="s">
        <v>3627</v>
      </c>
    </row>
    <row r="483" spans="18:37">
      <c r="R483" s="5">
        <v>1088</v>
      </c>
      <c r="S483" s="5" t="s">
        <v>3891</v>
      </c>
      <c r="T483" s="5" t="s">
        <v>4195</v>
      </c>
      <c r="U483" s="5">
        <v>999999</v>
      </c>
      <c r="V483" s="5" t="s">
        <v>4014</v>
      </c>
      <c r="AI483" s="468">
        <v>42855</v>
      </c>
      <c r="AJ483" s="5" t="s">
        <v>3621</v>
      </c>
      <c r="AK483" s="5" t="s">
        <v>3618</v>
      </c>
    </row>
    <row r="484" spans="18:37">
      <c r="R484" s="5">
        <v>1089</v>
      </c>
      <c r="S484" s="5" t="s">
        <v>3892</v>
      </c>
      <c r="T484" s="5" t="s">
        <v>4196</v>
      </c>
      <c r="U484" s="5">
        <v>999999</v>
      </c>
      <c r="V484" s="5" t="s">
        <v>4014</v>
      </c>
      <c r="AI484" s="468">
        <v>42856</v>
      </c>
      <c r="AJ484" s="5" t="s">
        <v>3579</v>
      </c>
      <c r="AK484" s="5" t="s">
        <v>3620</v>
      </c>
    </row>
    <row r="485" spans="18:37">
      <c r="R485" s="5">
        <v>1090</v>
      </c>
      <c r="S485" s="5" t="s">
        <v>3893</v>
      </c>
      <c r="T485" s="5" t="s">
        <v>3894</v>
      </c>
      <c r="U485" s="5">
        <v>10108</v>
      </c>
      <c r="V485" s="5" t="s">
        <v>3981</v>
      </c>
      <c r="W485" s="5" t="s">
        <v>4549</v>
      </c>
      <c r="AI485" s="468">
        <v>42857</v>
      </c>
      <c r="AJ485" s="5" t="s">
        <v>3624</v>
      </c>
      <c r="AK485" s="5" t="s">
        <v>3622</v>
      </c>
    </row>
    <row r="486" spans="18:37">
      <c r="R486" s="5">
        <v>1091</v>
      </c>
      <c r="S486" s="5" t="s">
        <v>3895</v>
      </c>
      <c r="T486" s="5" t="s">
        <v>4197</v>
      </c>
      <c r="U486" s="5">
        <v>999999</v>
      </c>
      <c r="V486" s="5" t="s">
        <v>4014</v>
      </c>
      <c r="AI486" s="468">
        <v>42858</v>
      </c>
      <c r="AJ486" s="5" t="s">
        <v>3626</v>
      </c>
      <c r="AK486" s="5" t="s">
        <v>3623</v>
      </c>
    </row>
    <row r="487" spans="18:37">
      <c r="R487" s="5">
        <v>1092</v>
      </c>
      <c r="S487" s="5" t="s">
        <v>3896</v>
      </c>
      <c r="T487" s="5" t="s">
        <v>4198</v>
      </c>
      <c r="U487" s="5">
        <v>999999</v>
      </c>
      <c r="V487" s="5" t="s">
        <v>4014</v>
      </c>
      <c r="AI487" s="468">
        <v>42859</v>
      </c>
      <c r="AJ487" s="5" t="s">
        <v>3628</v>
      </c>
      <c r="AK487" s="5" t="s">
        <v>3625</v>
      </c>
    </row>
    <row r="488" spans="18:37">
      <c r="R488" s="5">
        <v>1093</v>
      </c>
      <c r="S488" s="5" t="s">
        <v>3897</v>
      </c>
      <c r="T488" s="5" t="s">
        <v>3898</v>
      </c>
      <c r="U488" s="5">
        <v>10201</v>
      </c>
      <c r="V488" s="5" t="s">
        <v>3745</v>
      </c>
      <c r="W488" s="5" t="s">
        <v>4550</v>
      </c>
      <c r="AI488" s="468">
        <v>42860</v>
      </c>
      <c r="AJ488" s="5" t="s">
        <v>3617</v>
      </c>
      <c r="AK488" s="5" t="s">
        <v>3627</v>
      </c>
    </row>
    <row r="489" spans="18:37">
      <c r="R489" s="5">
        <v>1094</v>
      </c>
      <c r="S489" s="5" t="s">
        <v>3899</v>
      </c>
      <c r="T489" s="5" t="s">
        <v>3900</v>
      </c>
      <c r="U489" s="5">
        <v>10074</v>
      </c>
      <c r="V489" s="5" t="s">
        <v>3741</v>
      </c>
      <c r="W489" s="5" t="s">
        <v>4551</v>
      </c>
      <c r="AI489" s="468">
        <v>42861</v>
      </c>
      <c r="AJ489" s="5" t="s">
        <v>3619</v>
      </c>
      <c r="AK489" s="5" t="s">
        <v>3618</v>
      </c>
    </row>
    <row r="490" spans="18:37">
      <c r="R490" s="5">
        <v>1095</v>
      </c>
      <c r="S490" s="5" t="s">
        <v>3901</v>
      </c>
      <c r="T490" s="5" t="s">
        <v>3902</v>
      </c>
      <c r="U490" s="5">
        <v>10021</v>
      </c>
      <c r="V490" s="5" t="s">
        <v>1791</v>
      </c>
      <c r="W490" s="5" t="s">
        <v>4552</v>
      </c>
      <c r="AI490" s="468">
        <v>42862</v>
      </c>
      <c r="AJ490" s="5" t="s">
        <v>3621</v>
      </c>
      <c r="AK490" s="5" t="s">
        <v>3620</v>
      </c>
    </row>
    <row r="491" spans="18:37">
      <c r="R491" s="5">
        <v>1096</v>
      </c>
      <c r="S491" s="5" t="s">
        <v>3920</v>
      </c>
      <c r="T491" s="5" t="s">
        <v>4199</v>
      </c>
      <c r="U491" s="5">
        <v>999999</v>
      </c>
      <c r="V491" s="5" t="s">
        <v>4014</v>
      </c>
      <c r="AI491" s="468">
        <v>42863</v>
      </c>
      <c r="AJ491" s="5" t="s">
        <v>3579</v>
      </c>
      <c r="AK491" s="5" t="s">
        <v>3622</v>
      </c>
    </row>
    <row r="492" spans="18:37">
      <c r="R492" s="5">
        <v>1097</v>
      </c>
      <c r="S492" s="5" t="s">
        <v>3921</v>
      </c>
      <c r="T492" s="5" t="s">
        <v>3922</v>
      </c>
      <c r="U492" s="5">
        <v>10042</v>
      </c>
      <c r="V492" s="5" t="s">
        <v>3750</v>
      </c>
      <c r="W492" s="5" t="s">
        <v>4553</v>
      </c>
      <c r="AI492" s="468">
        <v>42864</v>
      </c>
      <c r="AJ492" s="5" t="s">
        <v>3624</v>
      </c>
      <c r="AK492" s="5" t="s">
        <v>3623</v>
      </c>
    </row>
    <row r="493" spans="18:37">
      <c r="R493" s="5">
        <v>1098</v>
      </c>
      <c r="S493" s="5" t="s">
        <v>3923</v>
      </c>
      <c r="T493" s="5" t="s">
        <v>3924</v>
      </c>
      <c r="U493" s="5">
        <v>10002</v>
      </c>
      <c r="V493" s="5" t="s">
        <v>3764</v>
      </c>
      <c r="W493" s="5" t="s">
        <v>4554</v>
      </c>
      <c r="AI493" s="468">
        <v>42865</v>
      </c>
      <c r="AJ493" s="5" t="s">
        <v>3626</v>
      </c>
      <c r="AK493" s="5" t="s">
        <v>3625</v>
      </c>
    </row>
    <row r="494" spans="18:37">
      <c r="R494" s="5">
        <v>1099</v>
      </c>
      <c r="S494" s="5" t="s">
        <v>3925</v>
      </c>
      <c r="T494" s="5" t="s">
        <v>3926</v>
      </c>
      <c r="U494" s="5">
        <v>10073</v>
      </c>
      <c r="V494" s="5" t="s">
        <v>3747</v>
      </c>
      <c r="W494" s="5" t="s">
        <v>4555</v>
      </c>
      <c r="AI494" s="468">
        <v>42866</v>
      </c>
      <c r="AJ494" s="5" t="s">
        <v>3628</v>
      </c>
      <c r="AK494" s="5" t="s">
        <v>3627</v>
      </c>
    </row>
    <row r="495" spans="18:37">
      <c r="R495" s="5">
        <v>1100</v>
      </c>
      <c r="S495" s="5" t="s">
        <v>3927</v>
      </c>
      <c r="T495" s="5" t="s">
        <v>3928</v>
      </c>
      <c r="AI495" s="468">
        <v>42867</v>
      </c>
      <c r="AJ495" s="5" t="s">
        <v>3617</v>
      </c>
      <c r="AK495" s="5" t="s">
        <v>3618</v>
      </c>
    </row>
    <row r="496" spans="18:37">
      <c r="R496" s="5">
        <v>1101</v>
      </c>
      <c r="S496" s="5" t="s">
        <v>3929</v>
      </c>
      <c r="T496" s="5" t="s">
        <v>3930</v>
      </c>
      <c r="U496" s="5">
        <v>10002</v>
      </c>
      <c r="V496" s="5" t="s">
        <v>3764</v>
      </c>
      <c r="W496" s="5" t="s">
        <v>4556</v>
      </c>
      <c r="AI496" s="468">
        <v>42868</v>
      </c>
      <c r="AJ496" s="5" t="s">
        <v>3619</v>
      </c>
      <c r="AK496" s="5" t="s">
        <v>3620</v>
      </c>
    </row>
    <row r="497" spans="18:37">
      <c r="R497" s="5">
        <v>1102</v>
      </c>
      <c r="S497" s="5" t="s">
        <v>3931</v>
      </c>
      <c r="T497" s="5" t="s">
        <v>3932</v>
      </c>
      <c r="U497" s="5">
        <v>10108</v>
      </c>
      <c r="V497" s="5" t="s">
        <v>3981</v>
      </c>
      <c r="W497" s="5" t="s">
        <v>4557</v>
      </c>
      <c r="AI497" s="468">
        <v>42869</v>
      </c>
      <c r="AJ497" s="5" t="s">
        <v>3621</v>
      </c>
      <c r="AK497" s="5" t="s">
        <v>3622</v>
      </c>
    </row>
    <row r="498" spans="18:37">
      <c r="R498" s="5">
        <v>1103</v>
      </c>
      <c r="S498" s="5" t="s">
        <v>3933</v>
      </c>
      <c r="T498" s="5" t="s">
        <v>3934</v>
      </c>
      <c r="U498" s="5">
        <v>10021</v>
      </c>
      <c r="V498" s="5" t="s">
        <v>1791</v>
      </c>
      <c r="W498" s="5" t="s">
        <v>4558</v>
      </c>
      <c r="AI498" s="468">
        <v>42870</v>
      </c>
      <c r="AJ498" s="5" t="s">
        <v>3579</v>
      </c>
      <c r="AK498" s="5" t="s">
        <v>3623</v>
      </c>
    </row>
    <row r="499" spans="18:37">
      <c r="R499" s="5">
        <v>1104</v>
      </c>
      <c r="S499" s="5" t="s">
        <v>4200</v>
      </c>
      <c r="T499" s="5" t="s">
        <v>4201</v>
      </c>
      <c r="U499" s="5">
        <v>999999</v>
      </c>
      <c r="V499" s="5" t="s">
        <v>4014</v>
      </c>
      <c r="AI499" s="468">
        <v>42871</v>
      </c>
      <c r="AJ499" s="5" t="s">
        <v>3624</v>
      </c>
      <c r="AK499" s="5" t="s">
        <v>3625</v>
      </c>
    </row>
    <row r="500" spans="18:37">
      <c r="R500" s="5">
        <v>1105</v>
      </c>
      <c r="S500" s="5" t="s">
        <v>4202</v>
      </c>
      <c r="T500" s="5" t="s">
        <v>4203</v>
      </c>
      <c r="U500" s="5">
        <v>10011</v>
      </c>
      <c r="V500" s="5" t="s">
        <v>3761</v>
      </c>
      <c r="W500" s="5" t="s">
        <v>4559</v>
      </c>
      <c r="AI500" s="468">
        <v>42872</v>
      </c>
      <c r="AJ500" s="5" t="s">
        <v>3626</v>
      </c>
      <c r="AK500" s="5" t="s">
        <v>3627</v>
      </c>
    </row>
    <row r="501" spans="18:37">
      <c r="R501" s="5">
        <v>1106</v>
      </c>
      <c r="S501" s="5" t="s">
        <v>4204</v>
      </c>
      <c r="T501" s="5" t="s">
        <v>4205</v>
      </c>
      <c r="U501" s="5">
        <v>20024</v>
      </c>
      <c r="V501" s="5" t="s">
        <v>3991</v>
      </c>
      <c r="W501" s="5" t="s">
        <v>4560</v>
      </c>
      <c r="AI501" s="468">
        <v>42873</v>
      </c>
      <c r="AJ501" s="5" t="s">
        <v>3628</v>
      </c>
      <c r="AK501" s="5" t="s">
        <v>3618</v>
      </c>
    </row>
    <row r="502" spans="18:37">
      <c r="R502" s="5">
        <v>1108</v>
      </c>
      <c r="S502" s="5" t="s">
        <v>4206</v>
      </c>
      <c r="T502" s="5" t="s">
        <v>4207</v>
      </c>
      <c r="U502" s="5">
        <v>40002</v>
      </c>
      <c r="V502" s="5" t="s">
        <v>4000</v>
      </c>
      <c r="W502" s="5" t="s">
        <v>4561</v>
      </c>
      <c r="AI502" s="468">
        <v>42874</v>
      </c>
      <c r="AJ502" s="5" t="s">
        <v>3617</v>
      </c>
      <c r="AK502" s="5" t="s">
        <v>3620</v>
      </c>
    </row>
    <row r="503" spans="18:37">
      <c r="R503" s="5">
        <v>1109</v>
      </c>
      <c r="S503" s="5" t="s">
        <v>4208</v>
      </c>
      <c r="T503" s="5" t="s">
        <v>4209</v>
      </c>
      <c r="U503" s="5">
        <v>10002</v>
      </c>
      <c r="V503" s="5" t="s">
        <v>3764</v>
      </c>
      <c r="W503" s="5" t="s">
        <v>4562</v>
      </c>
      <c r="AI503" s="468">
        <v>42875</v>
      </c>
      <c r="AJ503" s="5" t="s">
        <v>3619</v>
      </c>
      <c r="AK503" s="5" t="s">
        <v>3622</v>
      </c>
    </row>
    <row r="504" spans="18:37">
      <c r="R504" s="5">
        <v>1110</v>
      </c>
      <c r="S504" s="5" t="s">
        <v>4210</v>
      </c>
      <c r="T504" s="5" t="s">
        <v>4211</v>
      </c>
      <c r="U504" s="5">
        <v>10201</v>
      </c>
      <c r="V504" s="5" t="s">
        <v>3745</v>
      </c>
      <c r="W504" s="5" t="s">
        <v>4563</v>
      </c>
      <c r="AI504" s="468">
        <v>42876</v>
      </c>
      <c r="AJ504" s="5" t="s">
        <v>3621</v>
      </c>
      <c r="AK504" s="5" t="s">
        <v>3623</v>
      </c>
    </row>
    <row r="505" spans="18:37">
      <c r="R505" s="5">
        <v>1111</v>
      </c>
      <c r="S505" s="5" t="s">
        <v>4212</v>
      </c>
      <c r="T505" s="5" t="s">
        <v>4213</v>
      </c>
      <c r="U505" s="5">
        <v>10109</v>
      </c>
      <c r="V505" s="5" t="s">
        <v>3982</v>
      </c>
      <c r="W505" s="5" t="s">
        <v>4564</v>
      </c>
      <c r="AI505" s="468">
        <v>42877</v>
      </c>
      <c r="AJ505" s="5" t="s">
        <v>3579</v>
      </c>
      <c r="AK505" s="5" t="s">
        <v>3625</v>
      </c>
    </row>
    <row r="506" spans="18:37">
      <c r="R506" s="5">
        <v>1112</v>
      </c>
      <c r="S506" s="5" t="s">
        <v>4214</v>
      </c>
      <c r="T506" s="5" t="s">
        <v>4215</v>
      </c>
      <c r="U506" s="5">
        <v>999999</v>
      </c>
      <c r="V506" s="5" t="s">
        <v>4014</v>
      </c>
      <c r="AI506" s="468">
        <v>42878</v>
      </c>
      <c r="AJ506" s="5" t="s">
        <v>3624</v>
      </c>
      <c r="AK506" s="5" t="s">
        <v>3627</v>
      </c>
    </row>
    <row r="507" spans="18:37">
      <c r="R507" s="5">
        <v>1113</v>
      </c>
      <c r="S507" s="5" t="s">
        <v>4216</v>
      </c>
      <c r="T507" s="5" t="s">
        <v>4217</v>
      </c>
      <c r="U507" s="5">
        <v>40034</v>
      </c>
      <c r="V507" s="5" t="s">
        <v>4007</v>
      </c>
      <c r="W507" s="5" t="s">
        <v>4565</v>
      </c>
      <c r="AI507" s="468">
        <v>42879</v>
      </c>
      <c r="AJ507" s="5" t="s">
        <v>3626</v>
      </c>
      <c r="AK507" s="5" t="s">
        <v>3618</v>
      </c>
    </row>
    <row r="508" spans="18:37">
      <c r="R508" s="5">
        <v>1114</v>
      </c>
      <c r="S508" s="5" t="s">
        <v>4218</v>
      </c>
      <c r="T508" s="5" t="s">
        <v>4219</v>
      </c>
      <c r="U508" s="5">
        <v>10041</v>
      </c>
      <c r="V508" s="5" t="s">
        <v>3993</v>
      </c>
      <c r="W508" s="5" t="s">
        <v>4566</v>
      </c>
      <c r="AI508" s="468">
        <v>42880</v>
      </c>
      <c r="AJ508" s="5" t="s">
        <v>3628</v>
      </c>
      <c r="AK508" s="5" t="s">
        <v>3620</v>
      </c>
    </row>
    <row r="509" spans="18:37">
      <c r="R509" s="5">
        <v>1115</v>
      </c>
      <c r="S509" s="5" t="s">
        <v>4220</v>
      </c>
      <c r="T509" s="5" t="s">
        <v>4221</v>
      </c>
      <c r="U509" s="5" t="s">
        <v>3759</v>
      </c>
      <c r="V509" s="5" t="s">
        <v>3760</v>
      </c>
      <c r="W509" s="5" t="s">
        <v>4567</v>
      </c>
      <c r="AI509" s="468">
        <v>42881</v>
      </c>
      <c r="AJ509" s="5" t="s">
        <v>3617</v>
      </c>
      <c r="AK509" s="5" t="s">
        <v>3623</v>
      </c>
    </row>
    <row r="510" spans="18:37">
      <c r="R510" s="5">
        <v>1116</v>
      </c>
      <c r="S510" s="5" t="s">
        <v>4222</v>
      </c>
      <c r="T510" s="5" t="s">
        <v>4223</v>
      </c>
      <c r="U510" s="5">
        <v>20021</v>
      </c>
      <c r="V510" s="5" t="s">
        <v>3988</v>
      </c>
      <c r="W510" s="5" t="s">
        <v>4568</v>
      </c>
      <c r="AI510" s="468">
        <v>42882</v>
      </c>
      <c r="AJ510" s="5" t="s">
        <v>3619</v>
      </c>
      <c r="AK510" s="5" t="s">
        <v>3625</v>
      </c>
    </row>
    <row r="511" spans="18:37">
      <c r="R511" s="5">
        <v>1117</v>
      </c>
      <c r="S511" s="5" t="s">
        <v>4224</v>
      </c>
      <c r="T511" s="5" t="s">
        <v>4013</v>
      </c>
      <c r="U511" s="5">
        <v>99999</v>
      </c>
      <c r="V511" s="5" t="s">
        <v>4013</v>
      </c>
      <c r="AI511" s="468">
        <v>42883</v>
      </c>
      <c r="AJ511" s="5" t="s">
        <v>3621</v>
      </c>
      <c r="AK511" s="5" t="s">
        <v>3627</v>
      </c>
    </row>
    <row r="512" spans="18:37">
      <c r="R512" s="5">
        <v>1118</v>
      </c>
      <c r="S512" s="5" t="s">
        <v>4225</v>
      </c>
      <c r="T512" s="5" t="s">
        <v>4226</v>
      </c>
      <c r="U512" s="5">
        <v>20026</v>
      </c>
      <c r="V512" s="5" t="s">
        <v>3998</v>
      </c>
      <c r="W512" s="5" t="s">
        <v>4569</v>
      </c>
      <c r="AI512" s="468">
        <v>42884</v>
      </c>
      <c r="AJ512" s="5" t="s">
        <v>3579</v>
      </c>
      <c r="AK512" s="5" t="s">
        <v>3618</v>
      </c>
    </row>
    <row r="513" spans="18:37">
      <c r="R513" s="5">
        <v>1119</v>
      </c>
      <c r="S513" s="5" t="s">
        <v>4227</v>
      </c>
      <c r="T513" s="5" t="s">
        <v>4228</v>
      </c>
      <c r="U513" s="5">
        <v>10000</v>
      </c>
      <c r="V513" s="5" t="s">
        <v>1939</v>
      </c>
      <c r="W513" s="5" t="s">
        <v>4570</v>
      </c>
      <c r="AI513" s="468">
        <v>42885</v>
      </c>
      <c r="AJ513" s="5" t="s">
        <v>3624</v>
      </c>
      <c r="AK513" s="5" t="s">
        <v>3620</v>
      </c>
    </row>
    <row r="514" spans="18:37">
      <c r="R514" s="5">
        <v>1120</v>
      </c>
      <c r="S514" s="5" t="s">
        <v>4229</v>
      </c>
      <c r="T514" s="5" t="s">
        <v>4230</v>
      </c>
      <c r="U514" s="5">
        <v>40012</v>
      </c>
      <c r="V514" s="5" t="s">
        <v>3965</v>
      </c>
      <c r="W514" s="5" t="s">
        <v>4571</v>
      </c>
      <c r="AI514" s="468">
        <v>42886</v>
      </c>
      <c r="AJ514" s="5" t="s">
        <v>3626</v>
      </c>
      <c r="AK514" s="5" t="s">
        <v>3622</v>
      </c>
    </row>
    <row r="515" spans="18:37">
      <c r="R515" s="5">
        <v>1121</v>
      </c>
      <c r="S515" s="5" t="s">
        <v>4231</v>
      </c>
      <c r="T515" s="5" t="s">
        <v>4232</v>
      </c>
      <c r="U515" s="5">
        <v>40012</v>
      </c>
      <c r="V515" s="5" t="s">
        <v>3965</v>
      </c>
      <c r="W515" s="5" t="s">
        <v>4572</v>
      </c>
      <c r="AI515" s="468">
        <v>42887</v>
      </c>
      <c r="AJ515" s="5" t="s">
        <v>3628</v>
      </c>
      <c r="AK515" s="5" t="s">
        <v>3623</v>
      </c>
    </row>
    <row r="516" spans="18:37">
      <c r="R516" s="5">
        <v>1122</v>
      </c>
      <c r="S516" s="5" t="s">
        <v>4233</v>
      </c>
      <c r="T516" s="5" t="s">
        <v>4234</v>
      </c>
      <c r="U516" s="5">
        <v>10013</v>
      </c>
      <c r="V516" s="5" t="s">
        <v>1782</v>
      </c>
      <c r="W516" s="5" t="s">
        <v>4573</v>
      </c>
      <c r="AI516" s="468">
        <v>42888</v>
      </c>
      <c r="AJ516" s="5" t="s">
        <v>3617</v>
      </c>
      <c r="AK516" s="5" t="s">
        <v>3625</v>
      </c>
    </row>
    <row r="517" spans="18:37">
      <c r="R517" s="5">
        <v>1123</v>
      </c>
      <c r="S517" s="5" t="s">
        <v>4235</v>
      </c>
      <c r="T517" s="5" t="s">
        <v>4236</v>
      </c>
      <c r="U517" s="5">
        <v>10012</v>
      </c>
      <c r="V517" s="5" t="s">
        <v>1707</v>
      </c>
      <c r="W517" s="5" t="s">
        <v>4574</v>
      </c>
      <c r="AI517" s="468">
        <v>42889</v>
      </c>
      <c r="AJ517" s="5" t="s">
        <v>3619</v>
      </c>
      <c r="AK517" s="5" t="s">
        <v>3627</v>
      </c>
    </row>
    <row r="518" spans="18:37">
      <c r="R518" s="5">
        <v>1124</v>
      </c>
      <c r="S518" s="5" t="s">
        <v>4237</v>
      </c>
      <c r="T518" s="5" t="s">
        <v>4238</v>
      </c>
      <c r="U518" s="5">
        <v>10014</v>
      </c>
      <c r="V518" s="5" t="s">
        <v>1837</v>
      </c>
      <c r="W518" s="5" t="s">
        <v>4575</v>
      </c>
      <c r="AI518" s="468">
        <v>42890</v>
      </c>
      <c r="AJ518" s="5" t="s">
        <v>3621</v>
      </c>
      <c r="AK518" s="5" t="s">
        <v>3618</v>
      </c>
    </row>
    <row r="519" spans="18:37">
      <c r="R519" s="5">
        <v>1125</v>
      </c>
      <c r="S519" s="5" t="s">
        <v>4239</v>
      </c>
      <c r="T519" s="5" t="s">
        <v>4240</v>
      </c>
      <c r="U519" s="5">
        <v>10111</v>
      </c>
      <c r="V519" s="5" t="s">
        <v>3984</v>
      </c>
      <c r="W519" s="5" t="s">
        <v>4576</v>
      </c>
      <c r="AI519" s="468">
        <v>42891</v>
      </c>
      <c r="AJ519" s="5" t="s">
        <v>3579</v>
      </c>
      <c r="AK519" s="5" t="s">
        <v>3620</v>
      </c>
    </row>
    <row r="520" spans="18:37">
      <c r="R520" s="5">
        <v>1126</v>
      </c>
      <c r="S520" s="5" t="s">
        <v>4241</v>
      </c>
      <c r="T520" s="5" t="s">
        <v>4242</v>
      </c>
      <c r="U520" s="5">
        <v>10201</v>
      </c>
      <c r="V520" s="5" t="s">
        <v>3745</v>
      </c>
      <c r="W520" s="5" t="s">
        <v>4577</v>
      </c>
      <c r="AI520" s="468">
        <v>42892</v>
      </c>
      <c r="AJ520" s="5" t="s">
        <v>3624</v>
      </c>
      <c r="AK520" s="5" t="s">
        <v>3622</v>
      </c>
    </row>
    <row r="521" spans="18:37">
      <c r="R521" s="5">
        <v>1127</v>
      </c>
      <c r="S521" s="5" t="s">
        <v>4243</v>
      </c>
      <c r="T521" s="5" t="s">
        <v>4244</v>
      </c>
      <c r="U521" s="5">
        <v>20016</v>
      </c>
      <c r="V521" s="5" t="s">
        <v>1758</v>
      </c>
      <c r="W521" s="5" t="s">
        <v>4578</v>
      </c>
      <c r="AI521" s="468">
        <v>42893</v>
      </c>
      <c r="AJ521" s="5" t="s">
        <v>3626</v>
      </c>
      <c r="AK521" s="5" t="s">
        <v>3623</v>
      </c>
    </row>
    <row r="522" spans="18:37">
      <c r="R522" s="5">
        <v>1128</v>
      </c>
      <c r="S522" s="5" t="s">
        <v>4245</v>
      </c>
      <c r="T522" s="5" t="s">
        <v>4246</v>
      </c>
      <c r="U522" s="5">
        <v>20014</v>
      </c>
      <c r="V522" s="5" t="s">
        <v>3973</v>
      </c>
      <c r="W522" s="5" t="s">
        <v>4579</v>
      </c>
      <c r="AI522" s="468">
        <v>42894</v>
      </c>
      <c r="AJ522" s="5" t="s">
        <v>3628</v>
      </c>
      <c r="AK522" s="5" t="s">
        <v>3625</v>
      </c>
    </row>
    <row r="523" spans="18:37">
      <c r="R523" s="5">
        <v>1129</v>
      </c>
      <c r="S523" s="5" t="s">
        <v>4247</v>
      </c>
      <c r="T523" s="5" t="s">
        <v>4248</v>
      </c>
      <c r="U523" s="5" t="s">
        <v>3759</v>
      </c>
      <c r="V523" s="5" t="s">
        <v>3760</v>
      </c>
      <c r="W523" s="5" t="s">
        <v>4580</v>
      </c>
      <c r="AI523" s="468">
        <v>42895</v>
      </c>
      <c r="AJ523" s="5" t="s">
        <v>3617</v>
      </c>
      <c r="AK523" s="5" t="s">
        <v>3627</v>
      </c>
    </row>
    <row r="524" spans="18:37">
      <c r="R524" s="5">
        <v>1130</v>
      </c>
      <c r="S524" s="5" t="s">
        <v>4249</v>
      </c>
      <c r="T524" s="5" t="s">
        <v>4250</v>
      </c>
      <c r="U524" s="5">
        <v>10018</v>
      </c>
      <c r="V524" s="5" t="s">
        <v>1743</v>
      </c>
      <c r="W524" s="5" t="s">
        <v>4581</v>
      </c>
      <c r="AI524" s="468">
        <v>42896</v>
      </c>
      <c r="AJ524" s="5" t="s">
        <v>3619</v>
      </c>
      <c r="AK524" s="5" t="s">
        <v>3618</v>
      </c>
    </row>
    <row r="525" spans="18:37">
      <c r="R525" s="5">
        <v>1131</v>
      </c>
      <c r="S525" s="5" t="s">
        <v>4251</v>
      </c>
      <c r="T525" s="5" t="s">
        <v>4252</v>
      </c>
      <c r="U525" s="5">
        <v>10002</v>
      </c>
      <c r="V525" s="5" t="s">
        <v>3764</v>
      </c>
      <c r="W525" s="5" t="s">
        <v>4582</v>
      </c>
      <c r="AI525" s="468">
        <v>42897</v>
      </c>
      <c r="AJ525" s="5" t="s">
        <v>3621</v>
      </c>
      <c r="AK525" s="5" t="s">
        <v>3620</v>
      </c>
    </row>
    <row r="526" spans="18:37">
      <c r="R526" s="5">
        <v>1132</v>
      </c>
      <c r="S526" s="5" t="s">
        <v>4253</v>
      </c>
      <c r="T526" s="5" t="s">
        <v>4254</v>
      </c>
      <c r="U526" s="5">
        <v>10104</v>
      </c>
      <c r="V526" s="5" t="s">
        <v>3980</v>
      </c>
      <c r="W526" s="5" t="s">
        <v>4583</v>
      </c>
      <c r="AI526" s="468">
        <v>42898</v>
      </c>
      <c r="AJ526" s="5" t="s">
        <v>3579</v>
      </c>
      <c r="AK526" s="5" t="s">
        <v>3622</v>
      </c>
    </row>
    <row r="527" spans="18:37">
      <c r="R527" s="5">
        <v>1133</v>
      </c>
      <c r="S527" s="5" t="s">
        <v>4255</v>
      </c>
      <c r="T527" s="5" t="s">
        <v>4256</v>
      </c>
      <c r="U527" s="5">
        <v>10115</v>
      </c>
      <c r="V527" s="5" t="s">
        <v>1767</v>
      </c>
      <c r="W527" s="5" t="s">
        <v>4584</v>
      </c>
      <c r="AI527" s="468">
        <v>42899</v>
      </c>
      <c r="AJ527" s="5" t="s">
        <v>3624</v>
      </c>
      <c r="AK527" s="5" t="s">
        <v>3623</v>
      </c>
    </row>
    <row r="528" spans="18:37">
      <c r="R528" s="5">
        <v>1134</v>
      </c>
      <c r="S528" s="5" t="s">
        <v>4257</v>
      </c>
      <c r="T528" s="5" t="s">
        <v>4258</v>
      </c>
      <c r="U528" s="5">
        <v>10115</v>
      </c>
      <c r="V528" s="5" t="s">
        <v>1767</v>
      </c>
      <c r="W528" s="5" t="s">
        <v>4585</v>
      </c>
      <c r="AI528" s="468">
        <v>42900</v>
      </c>
      <c r="AJ528" s="5" t="s">
        <v>3626</v>
      </c>
      <c r="AK528" s="5" t="s">
        <v>3625</v>
      </c>
    </row>
    <row r="529" spans="35:37">
      <c r="AI529" s="468">
        <v>42901</v>
      </c>
      <c r="AJ529" s="5" t="s">
        <v>3628</v>
      </c>
      <c r="AK529" s="5" t="s">
        <v>3627</v>
      </c>
    </row>
    <row r="530" spans="35:37">
      <c r="AI530" s="468">
        <v>42902</v>
      </c>
      <c r="AJ530" s="5" t="s">
        <v>3617</v>
      </c>
      <c r="AK530" s="5" t="s">
        <v>3618</v>
      </c>
    </row>
    <row r="531" spans="35:37">
      <c r="AI531" s="468">
        <v>42903</v>
      </c>
      <c r="AJ531" s="5" t="s">
        <v>3619</v>
      </c>
      <c r="AK531" s="5" t="s">
        <v>3620</v>
      </c>
    </row>
    <row r="532" spans="35:37">
      <c r="AI532" s="468">
        <v>42904</v>
      </c>
      <c r="AJ532" s="5" t="s">
        <v>3621</v>
      </c>
      <c r="AK532" s="5" t="s">
        <v>3622</v>
      </c>
    </row>
    <row r="533" spans="35:37">
      <c r="AI533" s="468">
        <v>42905</v>
      </c>
      <c r="AJ533" s="5" t="s">
        <v>3579</v>
      </c>
      <c r="AK533" s="5" t="s">
        <v>3623</v>
      </c>
    </row>
    <row r="534" spans="35:37">
      <c r="AI534" s="468">
        <v>42906</v>
      </c>
      <c r="AJ534" s="5" t="s">
        <v>3624</v>
      </c>
      <c r="AK534" s="5" t="s">
        <v>3625</v>
      </c>
    </row>
    <row r="535" spans="35:37">
      <c r="AI535" s="468">
        <v>42907</v>
      </c>
      <c r="AJ535" s="5" t="s">
        <v>3626</v>
      </c>
      <c r="AK535" s="5" t="s">
        <v>3627</v>
      </c>
    </row>
    <row r="536" spans="35:37">
      <c r="AI536" s="468">
        <v>42908</v>
      </c>
      <c r="AJ536" s="5" t="s">
        <v>3628</v>
      </c>
      <c r="AK536" s="5" t="s">
        <v>3618</v>
      </c>
    </row>
    <row r="537" spans="35:37">
      <c r="AI537" s="468">
        <v>42909</v>
      </c>
      <c r="AJ537" s="5" t="s">
        <v>3617</v>
      </c>
      <c r="AK537" s="5" t="s">
        <v>3620</v>
      </c>
    </row>
    <row r="538" spans="35:37">
      <c r="AI538" s="468">
        <v>42910</v>
      </c>
      <c r="AJ538" s="5" t="s">
        <v>3619</v>
      </c>
      <c r="AK538" s="5" t="s">
        <v>3623</v>
      </c>
    </row>
    <row r="539" spans="35:37">
      <c r="AI539" s="468">
        <v>42911</v>
      </c>
      <c r="AJ539" s="5" t="s">
        <v>3621</v>
      </c>
      <c r="AK539" s="5" t="s">
        <v>3625</v>
      </c>
    </row>
    <row r="540" spans="35:37">
      <c r="AI540" s="468">
        <v>42912</v>
      </c>
      <c r="AJ540" s="5" t="s">
        <v>3579</v>
      </c>
      <c r="AK540" s="5" t="s">
        <v>3627</v>
      </c>
    </row>
    <row r="541" spans="35:37">
      <c r="AI541" s="468">
        <v>42913</v>
      </c>
      <c r="AJ541" s="5" t="s">
        <v>3624</v>
      </c>
      <c r="AK541" s="5" t="s">
        <v>3618</v>
      </c>
    </row>
    <row r="542" spans="35:37">
      <c r="AI542" s="468">
        <v>42914</v>
      </c>
      <c r="AJ542" s="5" t="s">
        <v>3626</v>
      </c>
      <c r="AK542" s="5" t="s">
        <v>3620</v>
      </c>
    </row>
    <row r="543" spans="35:37">
      <c r="AI543" s="468">
        <v>42915</v>
      </c>
      <c r="AJ543" s="5" t="s">
        <v>3628</v>
      </c>
      <c r="AK543" s="5" t="s">
        <v>3622</v>
      </c>
    </row>
    <row r="544" spans="35:37">
      <c r="AI544" s="468">
        <v>42916</v>
      </c>
      <c r="AJ544" s="5" t="s">
        <v>3617</v>
      </c>
      <c r="AK544" s="5" t="s">
        <v>3623</v>
      </c>
    </row>
    <row r="545" spans="35:37">
      <c r="AI545" s="468">
        <v>42917</v>
      </c>
      <c r="AJ545" s="5" t="s">
        <v>3619</v>
      </c>
      <c r="AK545" s="5" t="s">
        <v>3625</v>
      </c>
    </row>
    <row r="546" spans="35:37">
      <c r="AI546" s="468">
        <v>42918</v>
      </c>
      <c r="AJ546" s="5" t="s">
        <v>3621</v>
      </c>
      <c r="AK546" s="5" t="s">
        <v>3627</v>
      </c>
    </row>
    <row r="547" spans="35:37">
      <c r="AI547" s="468">
        <v>42919</v>
      </c>
      <c r="AJ547" s="5" t="s">
        <v>3579</v>
      </c>
      <c r="AK547" s="5" t="s">
        <v>3618</v>
      </c>
    </row>
    <row r="548" spans="35:37">
      <c r="AI548" s="468">
        <v>42920</v>
      </c>
      <c r="AJ548" s="5" t="s">
        <v>3624</v>
      </c>
      <c r="AK548" s="5" t="s">
        <v>3620</v>
      </c>
    </row>
    <row r="549" spans="35:37">
      <c r="AI549" s="468">
        <v>42921</v>
      </c>
      <c r="AJ549" s="5" t="s">
        <v>3626</v>
      </c>
      <c r="AK549" s="5" t="s">
        <v>3622</v>
      </c>
    </row>
    <row r="550" spans="35:37">
      <c r="AI550" s="468">
        <v>42922</v>
      </c>
      <c r="AJ550" s="5" t="s">
        <v>3628</v>
      </c>
      <c r="AK550" s="5" t="s">
        <v>3623</v>
      </c>
    </row>
    <row r="551" spans="35:37">
      <c r="AI551" s="468">
        <v>42923</v>
      </c>
      <c r="AJ551" s="5" t="s">
        <v>3617</v>
      </c>
      <c r="AK551" s="5" t="s">
        <v>3625</v>
      </c>
    </row>
    <row r="552" spans="35:37">
      <c r="AI552" s="468">
        <v>42924</v>
      </c>
      <c r="AJ552" s="5" t="s">
        <v>3619</v>
      </c>
      <c r="AK552" s="5" t="s">
        <v>3627</v>
      </c>
    </row>
    <row r="553" spans="35:37">
      <c r="AI553" s="468">
        <v>42925</v>
      </c>
      <c r="AJ553" s="5" t="s">
        <v>3621</v>
      </c>
      <c r="AK553" s="5" t="s">
        <v>3618</v>
      </c>
    </row>
    <row r="554" spans="35:37">
      <c r="AI554" s="468">
        <v>42926</v>
      </c>
      <c r="AJ554" s="5" t="s">
        <v>3579</v>
      </c>
      <c r="AK554" s="5" t="s">
        <v>3620</v>
      </c>
    </row>
    <row r="555" spans="35:37">
      <c r="AI555" s="468">
        <v>42927</v>
      </c>
      <c r="AJ555" s="5" t="s">
        <v>3624</v>
      </c>
      <c r="AK555" s="5" t="s">
        <v>3622</v>
      </c>
    </row>
    <row r="556" spans="35:37">
      <c r="AI556" s="468">
        <v>42928</v>
      </c>
      <c r="AJ556" s="5" t="s">
        <v>3626</v>
      </c>
      <c r="AK556" s="5" t="s">
        <v>3623</v>
      </c>
    </row>
    <row r="557" spans="35:37">
      <c r="AI557" s="468">
        <v>42929</v>
      </c>
      <c r="AJ557" s="5" t="s">
        <v>3628</v>
      </c>
      <c r="AK557" s="5" t="s">
        <v>3625</v>
      </c>
    </row>
    <row r="558" spans="35:37">
      <c r="AI558" s="468">
        <v>42930</v>
      </c>
      <c r="AJ558" s="5" t="s">
        <v>3617</v>
      </c>
      <c r="AK558" s="5" t="s">
        <v>3627</v>
      </c>
    </row>
    <row r="559" spans="35:37">
      <c r="AI559" s="468">
        <v>42931</v>
      </c>
      <c r="AJ559" s="5" t="s">
        <v>3619</v>
      </c>
      <c r="AK559" s="5" t="s">
        <v>3618</v>
      </c>
    </row>
    <row r="560" spans="35:37">
      <c r="AI560" s="468">
        <v>42932</v>
      </c>
      <c r="AJ560" s="5" t="s">
        <v>3621</v>
      </c>
      <c r="AK560" s="5" t="s">
        <v>3620</v>
      </c>
    </row>
    <row r="561" spans="35:37">
      <c r="AI561" s="468">
        <v>42933</v>
      </c>
      <c r="AJ561" s="5" t="s">
        <v>3579</v>
      </c>
      <c r="AK561" s="5" t="s">
        <v>3622</v>
      </c>
    </row>
    <row r="562" spans="35:37">
      <c r="AI562" s="468">
        <v>42934</v>
      </c>
      <c r="AJ562" s="5" t="s">
        <v>3624</v>
      </c>
      <c r="AK562" s="5" t="s">
        <v>3623</v>
      </c>
    </row>
    <row r="563" spans="35:37">
      <c r="AI563" s="468">
        <v>42935</v>
      </c>
      <c r="AJ563" s="5" t="s">
        <v>3626</v>
      </c>
      <c r="AK563" s="5" t="s">
        <v>3625</v>
      </c>
    </row>
    <row r="564" spans="35:37">
      <c r="AI564" s="468">
        <v>42936</v>
      </c>
      <c r="AJ564" s="5" t="s">
        <v>3628</v>
      </c>
      <c r="AK564" s="5" t="s">
        <v>3627</v>
      </c>
    </row>
    <row r="565" spans="35:37">
      <c r="AI565" s="468">
        <v>42937</v>
      </c>
      <c r="AJ565" s="5" t="s">
        <v>3617</v>
      </c>
      <c r="AK565" s="5" t="s">
        <v>3618</v>
      </c>
    </row>
    <row r="566" spans="35:37">
      <c r="AI566" s="468">
        <v>42938</v>
      </c>
      <c r="AJ566" s="5" t="s">
        <v>3619</v>
      </c>
      <c r="AK566" s="5" t="s">
        <v>3620</v>
      </c>
    </row>
    <row r="567" spans="35:37">
      <c r="AI567" s="468">
        <v>42939</v>
      </c>
      <c r="AJ567" s="5" t="s">
        <v>3621</v>
      </c>
      <c r="AK567" s="5" t="s">
        <v>3625</v>
      </c>
    </row>
    <row r="568" spans="35:37">
      <c r="AI568" s="468">
        <v>42940</v>
      </c>
      <c r="AJ568" s="5" t="s">
        <v>3579</v>
      </c>
      <c r="AK568" s="5" t="s">
        <v>3627</v>
      </c>
    </row>
    <row r="569" spans="35:37">
      <c r="AI569" s="468">
        <v>42941</v>
      </c>
      <c r="AJ569" s="5" t="s">
        <v>3624</v>
      </c>
      <c r="AK569" s="5" t="s">
        <v>3618</v>
      </c>
    </row>
    <row r="570" spans="35:37">
      <c r="AI570" s="468">
        <v>42942</v>
      </c>
      <c r="AJ570" s="5" t="s">
        <v>3626</v>
      </c>
      <c r="AK570" s="5" t="s">
        <v>3620</v>
      </c>
    </row>
    <row r="571" spans="35:37">
      <c r="AI571" s="468">
        <v>42943</v>
      </c>
      <c r="AJ571" s="5" t="s">
        <v>3628</v>
      </c>
      <c r="AK571" s="5" t="s">
        <v>3622</v>
      </c>
    </row>
    <row r="572" spans="35:37">
      <c r="AI572" s="468">
        <v>42944</v>
      </c>
      <c r="AJ572" s="5" t="s">
        <v>3617</v>
      </c>
      <c r="AK572" s="5" t="s">
        <v>3623</v>
      </c>
    </row>
    <row r="573" spans="35:37">
      <c r="AI573" s="468">
        <v>42945</v>
      </c>
      <c r="AJ573" s="5" t="s">
        <v>3619</v>
      </c>
      <c r="AK573" s="5" t="s">
        <v>3625</v>
      </c>
    </row>
    <row r="574" spans="35:37">
      <c r="AI574" s="468">
        <v>42946</v>
      </c>
      <c r="AJ574" s="5" t="s">
        <v>3621</v>
      </c>
      <c r="AK574" s="5" t="s">
        <v>3627</v>
      </c>
    </row>
    <row r="575" spans="35:37">
      <c r="AI575" s="468">
        <v>42947</v>
      </c>
      <c r="AJ575" s="5" t="s">
        <v>3579</v>
      </c>
      <c r="AK575" s="5" t="s">
        <v>3618</v>
      </c>
    </row>
    <row r="576" spans="35:37">
      <c r="AI576" s="468">
        <v>42948</v>
      </c>
      <c r="AJ576" s="5" t="s">
        <v>3624</v>
      </c>
      <c r="AK576" s="5" t="s">
        <v>3620</v>
      </c>
    </row>
    <row r="577" spans="35:37">
      <c r="AI577" s="468">
        <v>42949</v>
      </c>
      <c r="AJ577" s="5" t="s">
        <v>3626</v>
      </c>
      <c r="AK577" s="5" t="s">
        <v>3622</v>
      </c>
    </row>
    <row r="578" spans="35:37">
      <c r="AI578" s="468">
        <v>42950</v>
      </c>
      <c r="AJ578" s="5" t="s">
        <v>3628</v>
      </c>
      <c r="AK578" s="5" t="s">
        <v>3623</v>
      </c>
    </row>
    <row r="579" spans="35:37">
      <c r="AI579" s="468">
        <v>42951</v>
      </c>
      <c r="AJ579" s="5" t="s">
        <v>3617</v>
      </c>
      <c r="AK579" s="5" t="s">
        <v>3625</v>
      </c>
    </row>
    <row r="580" spans="35:37">
      <c r="AI580" s="468">
        <v>42952</v>
      </c>
      <c r="AJ580" s="5" t="s">
        <v>3619</v>
      </c>
      <c r="AK580" s="5" t="s">
        <v>3627</v>
      </c>
    </row>
    <row r="581" spans="35:37">
      <c r="AI581" s="468">
        <v>42953</v>
      </c>
      <c r="AJ581" s="5" t="s">
        <v>3621</v>
      </c>
      <c r="AK581" s="5" t="s">
        <v>3618</v>
      </c>
    </row>
    <row r="582" spans="35:37">
      <c r="AI582" s="468">
        <v>42954</v>
      </c>
      <c r="AJ582" s="5" t="s">
        <v>3579</v>
      </c>
      <c r="AK582" s="5" t="s">
        <v>3620</v>
      </c>
    </row>
    <row r="583" spans="35:37">
      <c r="AI583" s="468">
        <v>42955</v>
      </c>
      <c r="AJ583" s="5" t="s">
        <v>3624</v>
      </c>
      <c r="AK583" s="5" t="s">
        <v>3622</v>
      </c>
    </row>
    <row r="584" spans="35:37">
      <c r="AI584" s="468">
        <v>42956</v>
      </c>
      <c r="AJ584" s="5" t="s">
        <v>3626</v>
      </c>
      <c r="AK584" s="5" t="s">
        <v>3623</v>
      </c>
    </row>
    <row r="585" spans="35:37">
      <c r="AI585" s="468">
        <v>42957</v>
      </c>
      <c r="AJ585" s="5" t="s">
        <v>3628</v>
      </c>
      <c r="AK585" s="5" t="s">
        <v>3625</v>
      </c>
    </row>
    <row r="586" spans="35:37">
      <c r="AI586" s="468">
        <v>42958</v>
      </c>
      <c r="AJ586" s="5" t="s">
        <v>3617</v>
      </c>
      <c r="AK586" s="5" t="s">
        <v>3627</v>
      </c>
    </row>
    <row r="587" spans="35:37">
      <c r="AI587" s="468">
        <v>42959</v>
      </c>
      <c r="AJ587" s="5" t="s">
        <v>3619</v>
      </c>
      <c r="AK587" s="5" t="s">
        <v>3618</v>
      </c>
    </row>
    <row r="588" spans="35:37">
      <c r="AI588" s="468">
        <v>42960</v>
      </c>
      <c r="AJ588" s="5" t="s">
        <v>3621</v>
      </c>
      <c r="AK588" s="5" t="s">
        <v>3620</v>
      </c>
    </row>
    <row r="589" spans="35:37">
      <c r="AI589" s="468">
        <v>42961</v>
      </c>
      <c r="AJ589" s="5" t="s">
        <v>3579</v>
      </c>
      <c r="AK589" s="5" t="s">
        <v>3622</v>
      </c>
    </row>
    <row r="590" spans="35:37">
      <c r="AI590" s="468">
        <v>42962</v>
      </c>
      <c r="AJ590" s="5" t="s">
        <v>3624</v>
      </c>
      <c r="AK590" s="5" t="s">
        <v>3623</v>
      </c>
    </row>
    <row r="591" spans="35:37">
      <c r="AI591" s="468">
        <v>42963</v>
      </c>
      <c r="AJ591" s="5" t="s">
        <v>3626</v>
      </c>
      <c r="AK591" s="5" t="s">
        <v>3625</v>
      </c>
    </row>
    <row r="592" spans="35:37">
      <c r="AI592" s="468">
        <v>42964</v>
      </c>
      <c r="AJ592" s="5" t="s">
        <v>3628</v>
      </c>
      <c r="AK592" s="5" t="s">
        <v>3627</v>
      </c>
    </row>
    <row r="593" spans="35:37">
      <c r="AI593" s="468">
        <v>42965</v>
      </c>
      <c r="AJ593" s="5" t="s">
        <v>3617</v>
      </c>
      <c r="AK593" s="5" t="s">
        <v>3618</v>
      </c>
    </row>
    <row r="594" spans="35:37">
      <c r="AI594" s="468">
        <v>42966</v>
      </c>
      <c r="AJ594" s="5" t="s">
        <v>3619</v>
      </c>
      <c r="AK594" s="5" t="s">
        <v>3620</v>
      </c>
    </row>
    <row r="595" spans="35:37">
      <c r="AI595" s="468">
        <v>42967</v>
      </c>
      <c r="AJ595" s="5" t="s">
        <v>3621</v>
      </c>
      <c r="AK595" s="5" t="s">
        <v>3622</v>
      </c>
    </row>
    <row r="596" spans="35:37">
      <c r="AI596" s="468">
        <v>42968</v>
      </c>
      <c r="AJ596" s="5" t="s">
        <v>3579</v>
      </c>
      <c r="AK596" s="5" t="s">
        <v>3623</v>
      </c>
    </row>
    <row r="597" spans="35:37">
      <c r="AI597" s="468">
        <v>42969</v>
      </c>
      <c r="AJ597" s="5" t="s">
        <v>3624</v>
      </c>
      <c r="AK597" s="5" t="s">
        <v>3627</v>
      </c>
    </row>
    <row r="598" spans="35:37">
      <c r="AI598" s="468">
        <v>42970</v>
      </c>
      <c r="AJ598" s="5" t="s">
        <v>3626</v>
      </c>
      <c r="AK598" s="5" t="s">
        <v>3618</v>
      </c>
    </row>
    <row r="599" spans="35:37">
      <c r="AI599" s="468">
        <v>42971</v>
      </c>
      <c r="AJ599" s="5" t="s">
        <v>3628</v>
      </c>
      <c r="AK599" s="5" t="s">
        <v>3620</v>
      </c>
    </row>
    <row r="600" spans="35:37">
      <c r="AI600" s="468">
        <v>42972</v>
      </c>
      <c r="AJ600" s="5" t="s">
        <v>3617</v>
      </c>
      <c r="AK600" s="5" t="s">
        <v>3622</v>
      </c>
    </row>
    <row r="601" spans="35:37">
      <c r="AI601" s="468">
        <v>42973</v>
      </c>
      <c r="AJ601" s="5" t="s">
        <v>3619</v>
      </c>
      <c r="AK601" s="5" t="s">
        <v>3623</v>
      </c>
    </row>
    <row r="602" spans="35:37">
      <c r="AI602" s="468">
        <v>42974</v>
      </c>
      <c r="AJ602" s="5" t="s">
        <v>3621</v>
      </c>
      <c r="AK602" s="5" t="s">
        <v>3625</v>
      </c>
    </row>
    <row r="603" spans="35:37">
      <c r="AI603" s="468">
        <v>42975</v>
      </c>
      <c r="AJ603" s="5" t="s">
        <v>3579</v>
      </c>
      <c r="AK603" s="5" t="s">
        <v>3627</v>
      </c>
    </row>
    <row r="604" spans="35:37">
      <c r="AI604" s="468">
        <v>42976</v>
      </c>
      <c r="AJ604" s="5" t="s">
        <v>3624</v>
      </c>
      <c r="AK604" s="5" t="s">
        <v>3618</v>
      </c>
    </row>
    <row r="605" spans="35:37">
      <c r="AI605" s="468">
        <v>42977</v>
      </c>
      <c r="AJ605" s="5" t="s">
        <v>3626</v>
      </c>
      <c r="AK605" s="5" t="s">
        <v>3620</v>
      </c>
    </row>
    <row r="606" spans="35:37">
      <c r="AI606" s="468">
        <v>42978</v>
      </c>
      <c r="AJ606" s="5" t="s">
        <v>3628</v>
      </c>
      <c r="AK606" s="5" t="s">
        <v>3622</v>
      </c>
    </row>
    <row r="607" spans="35:37">
      <c r="AI607" s="468">
        <v>42979</v>
      </c>
      <c r="AJ607" s="5" t="s">
        <v>3617</v>
      </c>
      <c r="AK607" s="5" t="s">
        <v>3623</v>
      </c>
    </row>
    <row r="608" spans="35:37">
      <c r="AI608" s="468">
        <v>42980</v>
      </c>
      <c r="AJ608" s="5" t="s">
        <v>3619</v>
      </c>
      <c r="AK608" s="5" t="s">
        <v>3625</v>
      </c>
    </row>
    <row r="609" spans="35:37">
      <c r="AI609" s="468">
        <v>42981</v>
      </c>
      <c r="AJ609" s="5" t="s">
        <v>3621</v>
      </c>
      <c r="AK609" s="5" t="s">
        <v>3627</v>
      </c>
    </row>
    <row r="610" spans="35:37">
      <c r="AI610" s="468">
        <v>42982</v>
      </c>
      <c r="AJ610" s="5" t="s">
        <v>3579</v>
      </c>
      <c r="AK610" s="5" t="s">
        <v>3618</v>
      </c>
    </row>
    <row r="611" spans="35:37">
      <c r="AI611" s="468">
        <v>42983</v>
      </c>
      <c r="AJ611" s="5" t="s">
        <v>3624</v>
      </c>
      <c r="AK611" s="5" t="s">
        <v>3620</v>
      </c>
    </row>
    <row r="612" spans="35:37">
      <c r="AI612" s="468">
        <v>42984</v>
      </c>
      <c r="AJ612" s="5" t="s">
        <v>3626</v>
      </c>
      <c r="AK612" s="5" t="s">
        <v>3622</v>
      </c>
    </row>
    <row r="613" spans="35:37">
      <c r="AI613" s="468">
        <v>42985</v>
      </c>
      <c r="AJ613" s="5" t="s">
        <v>3628</v>
      </c>
      <c r="AK613" s="5" t="s">
        <v>3623</v>
      </c>
    </row>
    <row r="614" spans="35:37">
      <c r="AI614" s="468">
        <v>42986</v>
      </c>
      <c r="AJ614" s="5" t="s">
        <v>3617</v>
      </c>
      <c r="AK614" s="5" t="s">
        <v>3625</v>
      </c>
    </row>
    <row r="615" spans="35:37">
      <c r="AI615" s="468">
        <v>42987</v>
      </c>
      <c r="AJ615" s="5" t="s">
        <v>3619</v>
      </c>
      <c r="AK615" s="5" t="s">
        <v>3627</v>
      </c>
    </row>
    <row r="616" spans="35:37">
      <c r="AI616" s="468">
        <v>42988</v>
      </c>
      <c r="AJ616" s="5" t="s">
        <v>3621</v>
      </c>
      <c r="AK616" s="5" t="s">
        <v>3618</v>
      </c>
    </row>
    <row r="617" spans="35:37">
      <c r="AI617" s="468">
        <v>42989</v>
      </c>
      <c r="AJ617" s="5" t="s">
        <v>3579</v>
      </c>
      <c r="AK617" s="5" t="s">
        <v>3620</v>
      </c>
    </row>
    <row r="618" spans="35:37">
      <c r="AI618" s="468">
        <v>42990</v>
      </c>
      <c r="AJ618" s="5" t="s">
        <v>3624</v>
      </c>
      <c r="AK618" s="5" t="s">
        <v>3622</v>
      </c>
    </row>
    <row r="619" spans="35:37">
      <c r="AI619" s="468">
        <v>42991</v>
      </c>
      <c r="AJ619" s="5" t="s">
        <v>3626</v>
      </c>
      <c r="AK619" s="5" t="s">
        <v>3623</v>
      </c>
    </row>
    <row r="620" spans="35:37">
      <c r="AI620" s="468">
        <v>42992</v>
      </c>
      <c r="AJ620" s="5" t="s">
        <v>3628</v>
      </c>
      <c r="AK620" s="5" t="s">
        <v>3625</v>
      </c>
    </row>
    <row r="621" spans="35:37">
      <c r="AI621" s="468">
        <v>42993</v>
      </c>
      <c r="AJ621" s="5" t="s">
        <v>3617</v>
      </c>
      <c r="AK621" s="5" t="s">
        <v>3627</v>
      </c>
    </row>
    <row r="622" spans="35:37">
      <c r="AI622" s="468">
        <v>42994</v>
      </c>
      <c r="AJ622" s="5" t="s">
        <v>3619</v>
      </c>
      <c r="AK622" s="5" t="s">
        <v>3618</v>
      </c>
    </row>
    <row r="623" spans="35:37">
      <c r="AI623" s="468">
        <v>42995</v>
      </c>
      <c r="AJ623" s="5" t="s">
        <v>3621</v>
      </c>
      <c r="AK623" s="5" t="s">
        <v>3620</v>
      </c>
    </row>
    <row r="624" spans="35:37">
      <c r="AI624" s="468">
        <v>42996</v>
      </c>
      <c r="AJ624" s="5" t="s">
        <v>3579</v>
      </c>
      <c r="AK624" s="5" t="s">
        <v>3622</v>
      </c>
    </row>
    <row r="625" spans="35:37">
      <c r="AI625" s="468">
        <v>42997</v>
      </c>
      <c r="AJ625" s="5" t="s">
        <v>3624</v>
      </c>
      <c r="AK625" s="5" t="s">
        <v>3623</v>
      </c>
    </row>
    <row r="626" spans="35:37">
      <c r="AI626" s="468">
        <v>42998</v>
      </c>
      <c r="AJ626" s="5" t="s">
        <v>3626</v>
      </c>
      <c r="AK626" s="5" t="s">
        <v>3618</v>
      </c>
    </row>
    <row r="627" spans="35:37">
      <c r="AI627" s="468">
        <v>42999</v>
      </c>
      <c r="AJ627" s="5" t="s">
        <v>3628</v>
      </c>
      <c r="AK627" s="5" t="s">
        <v>3620</v>
      </c>
    </row>
    <row r="628" spans="35:37">
      <c r="AI628" s="468">
        <v>43000</v>
      </c>
      <c r="AJ628" s="5" t="s">
        <v>3617</v>
      </c>
      <c r="AK628" s="5" t="s">
        <v>3622</v>
      </c>
    </row>
    <row r="629" spans="35:37">
      <c r="AI629" s="468">
        <v>43001</v>
      </c>
      <c r="AJ629" s="5" t="s">
        <v>3619</v>
      </c>
      <c r="AK629" s="5" t="s">
        <v>3623</v>
      </c>
    </row>
    <row r="630" spans="35:37">
      <c r="AI630" s="468">
        <v>43002</v>
      </c>
      <c r="AJ630" s="5" t="s">
        <v>3621</v>
      </c>
      <c r="AK630" s="5" t="s">
        <v>3625</v>
      </c>
    </row>
    <row r="631" spans="35:37">
      <c r="AI631" s="468">
        <v>43003</v>
      </c>
      <c r="AJ631" s="5" t="s">
        <v>3579</v>
      </c>
      <c r="AK631" s="5" t="s">
        <v>3627</v>
      </c>
    </row>
    <row r="632" spans="35:37">
      <c r="AI632" s="468">
        <v>43004</v>
      </c>
      <c r="AJ632" s="5" t="s">
        <v>3624</v>
      </c>
      <c r="AK632" s="5" t="s">
        <v>3618</v>
      </c>
    </row>
    <row r="633" spans="35:37">
      <c r="AI633" s="468">
        <v>43005</v>
      </c>
      <c r="AJ633" s="5" t="s">
        <v>3626</v>
      </c>
      <c r="AK633" s="5" t="s">
        <v>3620</v>
      </c>
    </row>
    <row r="634" spans="35:37">
      <c r="AI634" s="468">
        <v>43006</v>
      </c>
      <c r="AJ634" s="5" t="s">
        <v>3628</v>
      </c>
      <c r="AK634" s="5" t="s">
        <v>3622</v>
      </c>
    </row>
    <row r="635" spans="35:37">
      <c r="AI635" s="468">
        <v>43007</v>
      </c>
      <c r="AJ635" s="5" t="s">
        <v>3617</v>
      </c>
      <c r="AK635" s="5" t="s">
        <v>3623</v>
      </c>
    </row>
    <row r="636" spans="35:37">
      <c r="AI636" s="468">
        <v>43008</v>
      </c>
      <c r="AJ636" s="5" t="s">
        <v>3619</v>
      </c>
      <c r="AK636" s="5" t="s">
        <v>3625</v>
      </c>
    </row>
    <row r="637" spans="35:37">
      <c r="AI637" s="468">
        <v>43009</v>
      </c>
      <c r="AJ637" s="5" t="s">
        <v>3621</v>
      </c>
      <c r="AK637" s="5" t="s">
        <v>3627</v>
      </c>
    </row>
    <row r="638" spans="35:37">
      <c r="AI638" s="468">
        <v>43010</v>
      </c>
      <c r="AJ638" s="5" t="s">
        <v>3579</v>
      </c>
      <c r="AK638" s="5" t="s">
        <v>3618</v>
      </c>
    </row>
    <row r="639" spans="35:37">
      <c r="AI639" s="468">
        <v>43011</v>
      </c>
      <c r="AJ639" s="5" t="s">
        <v>3624</v>
      </c>
      <c r="AK639" s="5" t="s">
        <v>3620</v>
      </c>
    </row>
    <row r="640" spans="35:37">
      <c r="AI640" s="468">
        <v>43012</v>
      </c>
      <c r="AJ640" s="5" t="s">
        <v>3626</v>
      </c>
      <c r="AK640" s="5" t="s">
        <v>3622</v>
      </c>
    </row>
    <row r="641" spans="35:37">
      <c r="AI641" s="468">
        <v>43013</v>
      </c>
      <c r="AJ641" s="5" t="s">
        <v>3628</v>
      </c>
      <c r="AK641" s="5" t="s">
        <v>3623</v>
      </c>
    </row>
    <row r="642" spans="35:37">
      <c r="AI642" s="468">
        <v>43014</v>
      </c>
      <c r="AJ642" s="5" t="s">
        <v>3617</v>
      </c>
      <c r="AK642" s="5" t="s">
        <v>3625</v>
      </c>
    </row>
    <row r="643" spans="35:37">
      <c r="AI643" s="468">
        <v>43015</v>
      </c>
      <c r="AJ643" s="5" t="s">
        <v>3619</v>
      </c>
      <c r="AK643" s="5" t="s">
        <v>3627</v>
      </c>
    </row>
    <row r="644" spans="35:37">
      <c r="AI644" s="468">
        <v>43016</v>
      </c>
      <c r="AJ644" s="5" t="s">
        <v>3621</v>
      </c>
      <c r="AK644" s="5" t="s">
        <v>3618</v>
      </c>
    </row>
    <row r="645" spans="35:37">
      <c r="AI645" s="468">
        <v>43017</v>
      </c>
      <c r="AJ645" s="5" t="s">
        <v>3579</v>
      </c>
      <c r="AK645" s="5" t="s">
        <v>3620</v>
      </c>
    </row>
    <row r="646" spans="35:37">
      <c r="AI646" s="468">
        <v>43018</v>
      </c>
      <c r="AJ646" s="5" t="s">
        <v>3624</v>
      </c>
      <c r="AK646" s="5" t="s">
        <v>3622</v>
      </c>
    </row>
    <row r="647" spans="35:37">
      <c r="AI647" s="468">
        <v>43019</v>
      </c>
      <c r="AJ647" s="5" t="s">
        <v>3626</v>
      </c>
      <c r="AK647" s="5" t="s">
        <v>3623</v>
      </c>
    </row>
    <row r="648" spans="35:37">
      <c r="AI648" s="468">
        <v>43020</v>
      </c>
      <c r="AJ648" s="5" t="s">
        <v>3628</v>
      </c>
      <c r="AK648" s="5" t="s">
        <v>3625</v>
      </c>
    </row>
    <row r="649" spans="35:37">
      <c r="AI649" s="468">
        <v>43021</v>
      </c>
      <c r="AJ649" s="5" t="s">
        <v>3617</v>
      </c>
      <c r="AK649" s="5" t="s">
        <v>3627</v>
      </c>
    </row>
    <row r="650" spans="35:37">
      <c r="AI650" s="468">
        <v>43022</v>
      </c>
      <c r="AJ650" s="5" t="s">
        <v>3619</v>
      </c>
      <c r="AK650" s="5" t="s">
        <v>3618</v>
      </c>
    </row>
    <row r="651" spans="35:37">
      <c r="AI651" s="468">
        <v>43023</v>
      </c>
      <c r="AJ651" s="5" t="s">
        <v>3621</v>
      </c>
      <c r="AK651" s="5" t="s">
        <v>3620</v>
      </c>
    </row>
    <row r="652" spans="35:37">
      <c r="AI652" s="468">
        <v>43024</v>
      </c>
      <c r="AJ652" s="5" t="s">
        <v>3579</v>
      </c>
      <c r="AK652" s="5" t="s">
        <v>3622</v>
      </c>
    </row>
    <row r="653" spans="35:37">
      <c r="AI653" s="468">
        <v>43025</v>
      </c>
      <c r="AJ653" s="5" t="s">
        <v>3624</v>
      </c>
      <c r="AK653" s="5" t="s">
        <v>3623</v>
      </c>
    </row>
    <row r="654" spans="35:37">
      <c r="AI654" s="468">
        <v>43026</v>
      </c>
      <c r="AJ654" s="5" t="s">
        <v>3626</v>
      </c>
      <c r="AK654" s="5" t="s">
        <v>3625</v>
      </c>
    </row>
    <row r="655" spans="35:37">
      <c r="AI655" s="468">
        <v>43027</v>
      </c>
      <c r="AJ655" s="5" t="s">
        <v>3628</v>
      </c>
      <c r="AK655" s="5" t="s">
        <v>3627</v>
      </c>
    </row>
    <row r="656" spans="35:37">
      <c r="AI656" s="468">
        <v>43028</v>
      </c>
      <c r="AJ656" s="5" t="s">
        <v>3617</v>
      </c>
      <c r="AK656" s="5" t="s">
        <v>3620</v>
      </c>
    </row>
    <row r="657" spans="35:37">
      <c r="AI657" s="468">
        <v>43029</v>
      </c>
      <c r="AJ657" s="5" t="s">
        <v>3619</v>
      </c>
      <c r="AK657" s="5" t="s">
        <v>3622</v>
      </c>
    </row>
    <row r="658" spans="35:37">
      <c r="AI658" s="468">
        <v>43030</v>
      </c>
      <c r="AJ658" s="5" t="s">
        <v>3621</v>
      </c>
      <c r="AK658" s="5" t="s">
        <v>3623</v>
      </c>
    </row>
    <row r="659" spans="35:37">
      <c r="AI659" s="468">
        <v>43031</v>
      </c>
      <c r="AJ659" s="5" t="s">
        <v>3579</v>
      </c>
      <c r="AK659" s="5" t="s">
        <v>3625</v>
      </c>
    </row>
    <row r="660" spans="35:37">
      <c r="AI660" s="468">
        <v>43032</v>
      </c>
      <c r="AJ660" s="5" t="s">
        <v>3624</v>
      </c>
      <c r="AK660" s="5" t="s">
        <v>3627</v>
      </c>
    </row>
    <row r="661" spans="35:37">
      <c r="AI661" s="468">
        <v>43033</v>
      </c>
      <c r="AJ661" s="5" t="s">
        <v>3626</v>
      </c>
      <c r="AK661" s="5" t="s">
        <v>3618</v>
      </c>
    </row>
    <row r="662" spans="35:37">
      <c r="AI662" s="468">
        <v>43034</v>
      </c>
      <c r="AJ662" s="5" t="s">
        <v>3628</v>
      </c>
      <c r="AK662" s="5" t="s">
        <v>3620</v>
      </c>
    </row>
    <row r="663" spans="35:37">
      <c r="AI663" s="468">
        <v>43035</v>
      </c>
      <c r="AJ663" s="5" t="s">
        <v>3617</v>
      </c>
      <c r="AK663" s="5" t="s">
        <v>3622</v>
      </c>
    </row>
    <row r="664" spans="35:37">
      <c r="AI664" s="468">
        <v>43036</v>
      </c>
      <c r="AJ664" s="5" t="s">
        <v>3619</v>
      </c>
      <c r="AK664" s="5" t="s">
        <v>3623</v>
      </c>
    </row>
    <row r="665" spans="35:37">
      <c r="AI665" s="468">
        <v>43037</v>
      </c>
      <c r="AJ665" s="5" t="s">
        <v>3621</v>
      </c>
      <c r="AK665" s="5" t="s">
        <v>3625</v>
      </c>
    </row>
    <row r="666" spans="35:37">
      <c r="AI666" s="468">
        <v>43038</v>
      </c>
      <c r="AJ666" s="5" t="s">
        <v>3579</v>
      </c>
      <c r="AK666" s="5" t="s">
        <v>3627</v>
      </c>
    </row>
    <row r="667" spans="35:37">
      <c r="AI667" s="468">
        <v>43039</v>
      </c>
      <c r="AJ667" s="5" t="s">
        <v>3624</v>
      </c>
      <c r="AK667" s="5" t="s">
        <v>3618</v>
      </c>
    </row>
    <row r="668" spans="35:37">
      <c r="AI668" s="468">
        <v>43040</v>
      </c>
      <c r="AJ668" s="5" t="s">
        <v>3626</v>
      </c>
      <c r="AK668" s="5" t="s">
        <v>3620</v>
      </c>
    </row>
    <row r="669" spans="35:37">
      <c r="AI669" s="468">
        <v>43041</v>
      </c>
      <c r="AJ669" s="5" t="s">
        <v>3628</v>
      </c>
      <c r="AK669" s="5" t="s">
        <v>3622</v>
      </c>
    </row>
    <row r="670" spans="35:37">
      <c r="AI670" s="468">
        <v>43042</v>
      </c>
      <c r="AJ670" s="5" t="s">
        <v>3617</v>
      </c>
      <c r="AK670" s="5" t="s">
        <v>3623</v>
      </c>
    </row>
    <row r="671" spans="35:37">
      <c r="AI671" s="468">
        <v>43043</v>
      </c>
      <c r="AJ671" s="5" t="s">
        <v>3619</v>
      </c>
      <c r="AK671" s="5" t="s">
        <v>3625</v>
      </c>
    </row>
    <row r="672" spans="35:37">
      <c r="AI672" s="468">
        <v>43044</v>
      </c>
      <c r="AJ672" s="5" t="s">
        <v>3621</v>
      </c>
      <c r="AK672" s="5" t="s">
        <v>3627</v>
      </c>
    </row>
    <row r="673" spans="35:37">
      <c r="AI673" s="468">
        <v>43045</v>
      </c>
      <c r="AJ673" s="5" t="s">
        <v>3579</v>
      </c>
      <c r="AK673" s="5" t="s">
        <v>3618</v>
      </c>
    </row>
    <row r="674" spans="35:37">
      <c r="AI674" s="468">
        <v>43046</v>
      </c>
      <c r="AJ674" s="5" t="s">
        <v>3624</v>
      </c>
      <c r="AK674" s="5" t="s">
        <v>3620</v>
      </c>
    </row>
    <row r="675" spans="35:37">
      <c r="AI675" s="468">
        <v>43047</v>
      </c>
      <c r="AJ675" s="5" t="s">
        <v>3626</v>
      </c>
      <c r="AK675" s="5" t="s">
        <v>3622</v>
      </c>
    </row>
    <row r="676" spans="35:37">
      <c r="AI676" s="468">
        <v>43048</v>
      </c>
      <c r="AJ676" s="5" t="s">
        <v>3628</v>
      </c>
      <c r="AK676" s="5" t="s">
        <v>3623</v>
      </c>
    </row>
    <row r="677" spans="35:37">
      <c r="AI677" s="468">
        <v>43049</v>
      </c>
      <c r="AJ677" s="5" t="s">
        <v>3617</v>
      </c>
      <c r="AK677" s="5" t="s">
        <v>3625</v>
      </c>
    </row>
    <row r="678" spans="35:37">
      <c r="AI678" s="468">
        <v>43050</v>
      </c>
      <c r="AJ678" s="5" t="s">
        <v>3619</v>
      </c>
      <c r="AK678" s="5" t="s">
        <v>3627</v>
      </c>
    </row>
    <row r="679" spans="35:37">
      <c r="AI679" s="468">
        <v>43051</v>
      </c>
      <c r="AJ679" s="5" t="s">
        <v>3621</v>
      </c>
      <c r="AK679" s="5" t="s">
        <v>3618</v>
      </c>
    </row>
    <row r="680" spans="35:37">
      <c r="AI680" s="468">
        <v>43052</v>
      </c>
      <c r="AJ680" s="5" t="s">
        <v>3579</v>
      </c>
      <c r="AK680" s="5" t="s">
        <v>3620</v>
      </c>
    </row>
    <row r="681" spans="35:37">
      <c r="AI681" s="468">
        <v>43053</v>
      </c>
      <c r="AJ681" s="5" t="s">
        <v>3624</v>
      </c>
      <c r="AK681" s="5" t="s">
        <v>3622</v>
      </c>
    </row>
    <row r="682" spans="35:37">
      <c r="AI682" s="468">
        <v>43054</v>
      </c>
      <c r="AJ682" s="5" t="s">
        <v>3626</v>
      </c>
      <c r="AK682" s="5" t="s">
        <v>3623</v>
      </c>
    </row>
    <row r="683" spans="35:37">
      <c r="AI683" s="468">
        <v>43055</v>
      </c>
      <c r="AJ683" s="5" t="s">
        <v>3628</v>
      </c>
      <c r="AK683" s="5" t="s">
        <v>3625</v>
      </c>
    </row>
    <row r="684" spans="35:37">
      <c r="AI684" s="468">
        <v>43056</v>
      </c>
      <c r="AJ684" s="5" t="s">
        <v>3617</v>
      </c>
      <c r="AK684" s="5" t="s">
        <v>3627</v>
      </c>
    </row>
    <row r="685" spans="35:37">
      <c r="AI685" s="468">
        <v>43057</v>
      </c>
      <c r="AJ685" s="5" t="s">
        <v>3619</v>
      </c>
      <c r="AK685" s="5" t="s">
        <v>3622</v>
      </c>
    </row>
    <row r="686" spans="35:37">
      <c r="AI686" s="468">
        <v>43058</v>
      </c>
      <c r="AJ686" s="5" t="s">
        <v>3621</v>
      </c>
      <c r="AK686" s="5" t="s">
        <v>3623</v>
      </c>
    </row>
    <row r="687" spans="35:37">
      <c r="AI687" s="468">
        <v>43059</v>
      </c>
      <c r="AJ687" s="5" t="s">
        <v>3579</v>
      </c>
      <c r="AK687" s="5" t="s">
        <v>3625</v>
      </c>
    </row>
    <row r="688" spans="35:37">
      <c r="AI688" s="468">
        <v>43060</v>
      </c>
      <c r="AJ688" s="5" t="s">
        <v>3624</v>
      </c>
      <c r="AK688" s="5" t="s">
        <v>3627</v>
      </c>
    </row>
    <row r="689" spans="35:37">
      <c r="AI689" s="468">
        <v>43061</v>
      </c>
      <c r="AJ689" s="5" t="s">
        <v>3626</v>
      </c>
      <c r="AK689" s="5" t="s">
        <v>3618</v>
      </c>
    </row>
    <row r="690" spans="35:37">
      <c r="AI690" s="468">
        <v>43062</v>
      </c>
      <c r="AJ690" s="5" t="s">
        <v>3628</v>
      </c>
      <c r="AK690" s="5" t="s">
        <v>3620</v>
      </c>
    </row>
    <row r="691" spans="35:37">
      <c r="AI691" s="468">
        <v>43063</v>
      </c>
      <c r="AJ691" s="5" t="s">
        <v>3617</v>
      </c>
      <c r="AK691" s="5" t="s">
        <v>3622</v>
      </c>
    </row>
    <row r="692" spans="35:37">
      <c r="AI692" s="468">
        <v>43064</v>
      </c>
      <c r="AJ692" s="5" t="s">
        <v>3619</v>
      </c>
      <c r="AK692" s="5" t="s">
        <v>3623</v>
      </c>
    </row>
    <row r="693" spans="35:37">
      <c r="AI693" s="468">
        <v>43065</v>
      </c>
      <c r="AJ693" s="5" t="s">
        <v>3621</v>
      </c>
      <c r="AK693" s="5" t="s">
        <v>3625</v>
      </c>
    </row>
    <row r="694" spans="35:37">
      <c r="AI694" s="468">
        <v>43066</v>
      </c>
      <c r="AJ694" s="5" t="s">
        <v>3579</v>
      </c>
      <c r="AK694" s="5" t="s">
        <v>3627</v>
      </c>
    </row>
    <row r="695" spans="35:37">
      <c r="AI695" s="468">
        <v>43067</v>
      </c>
      <c r="AJ695" s="5" t="s">
        <v>3624</v>
      </c>
      <c r="AK695" s="5" t="s">
        <v>3618</v>
      </c>
    </row>
    <row r="696" spans="35:37">
      <c r="AI696" s="468">
        <v>43068</v>
      </c>
      <c r="AJ696" s="5" t="s">
        <v>3626</v>
      </c>
      <c r="AK696" s="5" t="s">
        <v>3620</v>
      </c>
    </row>
    <row r="697" spans="35:37">
      <c r="AI697" s="468">
        <v>43069</v>
      </c>
      <c r="AJ697" s="5" t="s">
        <v>3628</v>
      </c>
      <c r="AK697" s="5" t="s">
        <v>3622</v>
      </c>
    </row>
    <row r="698" spans="35:37">
      <c r="AI698" s="468">
        <v>43070</v>
      </c>
      <c r="AJ698" s="5" t="s">
        <v>3617</v>
      </c>
      <c r="AK698" s="5" t="s">
        <v>3623</v>
      </c>
    </row>
    <row r="699" spans="35:37">
      <c r="AI699" s="468">
        <v>43071</v>
      </c>
      <c r="AJ699" s="5" t="s">
        <v>3619</v>
      </c>
      <c r="AK699" s="5" t="s">
        <v>3625</v>
      </c>
    </row>
    <row r="700" spans="35:37">
      <c r="AI700" s="468">
        <v>43072</v>
      </c>
      <c r="AJ700" s="5" t="s">
        <v>3621</v>
      </c>
      <c r="AK700" s="5" t="s">
        <v>3627</v>
      </c>
    </row>
    <row r="701" spans="35:37">
      <c r="AI701" s="468">
        <v>43073</v>
      </c>
      <c r="AJ701" s="5" t="s">
        <v>3579</v>
      </c>
      <c r="AK701" s="5" t="s">
        <v>3618</v>
      </c>
    </row>
    <row r="702" spans="35:37">
      <c r="AI702" s="468">
        <v>43074</v>
      </c>
      <c r="AJ702" s="5" t="s">
        <v>3624</v>
      </c>
      <c r="AK702" s="5" t="s">
        <v>3620</v>
      </c>
    </row>
    <row r="703" spans="35:37">
      <c r="AI703" s="468">
        <v>43075</v>
      </c>
      <c r="AJ703" s="5" t="s">
        <v>3626</v>
      </c>
      <c r="AK703" s="5" t="s">
        <v>3622</v>
      </c>
    </row>
    <row r="704" spans="35:37">
      <c r="AI704" s="468">
        <v>43076</v>
      </c>
      <c r="AJ704" s="5" t="s">
        <v>3628</v>
      </c>
      <c r="AK704" s="5" t="s">
        <v>3623</v>
      </c>
    </row>
    <row r="705" spans="35:37">
      <c r="AI705" s="468">
        <v>43077</v>
      </c>
      <c r="AJ705" s="5" t="s">
        <v>3617</v>
      </c>
      <c r="AK705" s="5" t="s">
        <v>3625</v>
      </c>
    </row>
    <row r="706" spans="35:37">
      <c r="AI706" s="468">
        <v>43078</v>
      </c>
      <c r="AJ706" s="5" t="s">
        <v>3619</v>
      </c>
      <c r="AK706" s="5" t="s">
        <v>3627</v>
      </c>
    </row>
    <row r="707" spans="35:37">
      <c r="AI707" s="468">
        <v>43079</v>
      </c>
      <c r="AJ707" s="5" t="s">
        <v>3621</v>
      </c>
      <c r="AK707" s="5" t="s">
        <v>3618</v>
      </c>
    </row>
    <row r="708" spans="35:37">
      <c r="AI708" s="468">
        <v>43080</v>
      </c>
      <c r="AJ708" s="5" t="s">
        <v>3579</v>
      </c>
      <c r="AK708" s="5" t="s">
        <v>3620</v>
      </c>
    </row>
    <row r="709" spans="35:37">
      <c r="AI709" s="468">
        <v>43081</v>
      </c>
      <c r="AJ709" s="5" t="s">
        <v>3624</v>
      </c>
      <c r="AK709" s="5" t="s">
        <v>3622</v>
      </c>
    </row>
    <row r="710" spans="35:37">
      <c r="AI710" s="468">
        <v>43082</v>
      </c>
      <c r="AJ710" s="5" t="s">
        <v>3626</v>
      </c>
      <c r="AK710" s="5" t="s">
        <v>3623</v>
      </c>
    </row>
    <row r="711" spans="35:37">
      <c r="AI711" s="468">
        <v>43083</v>
      </c>
      <c r="AJ711" s="5" t="s">
        <v>3628</v>
      </c>
      <c r="AK711" s="5" t="s">
        <v>3625</v>
      </c>
    </row>
    <row r="712" spans="35:37">
      <c r="AI712" s="468">
        <v>43084</v>
      </c>
      <c r="AJ712" s="5" t="s">
        <v>3617</v>
      </c>
      <c r="AK712" s="5" t="s">
        <v>3627</v>
      </c>
    </row>
    <row r="713" spans="35:37">
      <c r="AI713" s="468">
        <v>43085</v>
      </c>
      <c r="AJ713" s="5" t="s">
        <v>3619</v>
      </c>
      <c r="AK713" s="5" t="s">
        <v>3618</v>
      </c>
    </row>
    <row r="714" spans="35:37">
      <c r="AI714" s="468">
        <v>43086</v>
      </c>
      <c r="AJ714" s="5" t="s">
        <v>3621</v>
      </c>
      <c r="AK714" s="5" t="s">
        <v>3620</v>
      </c>
    </row>
    <row r="715" spans="35:37">
      <c r="AI715" s="468">
        <v>43087</v>
      </c>
      <c r="AJ715" s="5" t="s">
        <v>3579</v>
      </c>
      <c r="AK715" s="5" t="s">
        <v>3623</v>
      </c>
    </row>
    <row r="716" spans="35:37">
      <c r="AI716" s="468">
        <v>43088</v>
      </c>
      <c r="AJ716" s="5" t="s">
        <v>3624</v>
      </c>
      <c r="AK716" s="5" t="s">
        <v>3625</v>
      </c>
    </row>
    <row r="717" spans="35:37">
      <c r="AI717" s="468">
        <v>43089</v>
      </c>
      <c r="AJ717" s="5" t="s">
        <v>3626</v>
      </c>
      <c r="AK717" s="5" t="s">
        <v>3627</v>
      </c>
    </row>
    <row r="718" spans="35:37">
      <c r="AI718" s="468">
        <v>43090</v>
      </c>
      <c r="AJ718" s="5" t="s">
        <v>3628</v>
      </c>
      <c r="AK718" s="5" t="s">
        <v>3618</v>
      </c>
    </row>
    <row r="719" spans="35:37">
      <c r="AI719" s="468">
        <v>43091</v>
      </c>
      <c r="AJ719" s="5" t="s">
        <v>3617</v>
      </c>
      <c r="AK719" s="5" t="s">
        <v>3620</v>
      </c>
    </row>
    <row r="720" spans="35:37">
      <c r="AI720" s="468">
        <v>43092</v>
      </c>
      <c r="AJ720" s="5" t="s">
        <v>3619</v>
      </c>
      <c r="AK720" s="5" t="s">
        <v>3622</v>
      </c>
    </row>
    <row r="721" spans="35:37">
      <c r="AI721" s="468">
        <v>43093</v>
      </c>
      <c r="AJ721" s="5" t="s">
        <v>3621</v>
      </c>
      <c r="AK721" s="5" t="s">
        <v>3623</v>
      </c>
    </row>
    <row r="722" spans="35:37">
      <c r="AI722" s="468">
        <v>43094</v>
      </c>
      <c r="AJ722" s="5" t="s">
        <v>3579</v>
      </c>
      <c r="AK722" s="5" t="s">
        <v>3625</v>
      </c>
    </row>
    <row r="723" spans="35:37">
      <c r="AI723" s="468">
        <v>43095</v>
      </c>
      <c r="AJ723" s="5" t="s">
        <v>3624</v>
      </c>
      <c r="AK723" s="5" t="s">
        <v>3627</v>
      </c>
    </row>
    <row r="724" spans="35:37">
      <c r="AI724" s="468">
        <v>43096</v>
      </c>
      <c r="AJ724" s="5" t="s">
        <v>3626</v>
      </c>
      <c r="AK724" s="5" t="s">
        <v>3618</v>
      </c>
    </row>
    <row r="725" spans="35:37">
      <c r="AI725" s="468">
        <v>43097</v>
      </c>
      <c r="AJ725" s="5" t="s">
        <v>3628</v>
      </c>
      <c r="AK725" s="5" t="s">
        <v>3620</v>
      </c>
    </row>
    <row r="726" spans="35:37">
      <c r="AI726" s="468">
        <v>43098</v>
      </c>
      <c r="AJ726" s="5" t="s">
        <v>3617</v>
      </c>
      <c r="AK726" s="5" t="s">
        <v>3622</v>
      </c>
    </row>
    <row r="727" spans="35:37">
      <c r="AI727" s="468">
        <v>43099</v>
      </c>
      <c r="AJ727" s="5" t="s">
        <v>3619</v>
      </c>
      <c r="AK727" s="5" t="s">
        <v>3623</v>
      </c>
    </row>
    <row r="728" spans="35:37">
      <c r="AI728" s="468">
        <v>43100</v>
      </c>
      <c r="AJ728" s="5" t="s">
        <v>3621</v>
      </c>
      <c r="AK728" s="5" t="s">
        <v>3625</v>
      </c>
    </row>
    <row r="729" spans="35:37">
      <c r="AI729" s="468">
        <v>43101</v>
      </c>
      <c r="AJ729" s="5" t="s">
        <v>3579</v>
      </c>
      <c r="AK729" s="5" t="s">
        <v>3627</v>
      </c>
    </row>
    <row r="730" spans="35:37">
      <c r="AI730" s="468">
        <v>43102</v>
      </c>
      <c r="AJ730" s="5" t="s">
        <v>3624</v>
      </c>
      <c r="AK730" s="5" t="s">
        <v>3618</v>
      </c>
    </row>
    <row r="731" spans="35:37">
      <c r="AI731" s="468">
        <v>43103</v>
      </c>
      <c r="AJ731" s="5" t="s">
        <v>3626</v>
      </c>
      <c r="AK731" s="5" t="s">
        <v>3620</v>
      </c>
    </row>
    <row r="732" spans="35:37">
      <c r="AI732" s="468">
        <v>43104</v>
      </c>
      <c r="AJ732" s="5" t="s">
        <v>3628</v>
      </c>
      <c r="AK732" s="5" t="s">
        <v>3622</v>
      </c>
    </row>
    <row r="733" spans="35:37">
      <c r="AI733" s="468">
        <v>43105</v>
      </c>
      <c r="AJ733" s="5" t="s">
        <v>3617</v>
      </c>
      <c r="AK733" s="5" t="s">
        <v>3623</v>
      </c>
    </row>
    <row r="734" spans="35:37">
      <c r="AI734" s="468">
        <v>43106</v>
      </c>
      <c r="AJ734" s="5" t="s">
        <v>3619</v>
      </c>
      <c r="AK734" s="5" t="s">
        <v>3625</v>
      </c>
    </row>
    <row r="735" spans="35:37">
      <c r="AI735" s="468">
        <v>43107</v>
      </c>
      <c r="AJ735" s="5" t="s">
        <v>3621</v>
      </c>
      <c r="AK735" s="5" t="s">
        <v>3627</v>
      </c>
    </row>
    <row r="736" spans="35:37">
      <c r="AI736" s="468">
        <v>43108</v>
      </c>
      <c r="AJ736" s="5" t="s">
        <v>3579</v>
      </c>
      <c r="AK736" s="5" t="s">
        <v>3618</v>
      </c>
    </row>
    <row r="737" spans="35:37">
      <c r="AI737" s="468">
        <v>43109</v>
      </c>
      <c r="AJ737" s="5" t="s">
        <v>3624</v>
      </c>
      <c r="AK737" s="5" t="s">
        <v>3620</v>
      </c>
    </row>
    <row r="738" spans="35:37">
      <c r="AI738" s="468">
        <v>43110</v>
      </c>
      <c r="AJ738" s="5" t="s">
        <v>3626</v>
      </c>
      <c r="AK738" s="5" t="s">
        <v>3622</v>
      </c>
    </row>
    <row r="739" spans="35:37">
      <c r="AI739" s="468">
        <v>43111</v>
      </c>
      <c r="AJ739" s="5" t="s">
        <v>3628</v>
      </c>
      <c r="AK739" s="5" t="s">
        <v>3623</v>
      </c>
    </row>
    <row r="740" spans="35:37">
      <c r="AI740" s="468">
        <v>43112</v>
      </c>
      <c r="AJ740" s="5" t="s">
        <v>3617</v>
      </c>
      <c r="AK740" s="5" t="s">
        <v>3625</v>
      </c>
    </row>
    <row r="741" spans="35:37">
      <c r="AI741" s="468">
        <v>43113</v>
      </c>
      <c r="AJ741" s="5" t="s">
        <v>3619</v>
      </c>
      <c r="AK741" s="5" t="s">
        <v>3627</v>
      </c>
    </row>
    <row r="742" spans="35:37">
      <c r="AI742" s="468">
        <v>43114</v>
      </c>
      <c r="AJ742" s="5" t="s">
        <v>3621</v>
      </c>
      <c r="AK742" s="5" t="s">
        <v>3618</v>
      </c>
    </row>
    <row r="743" spans="35:37">
      <c r="AI743" s="468">
        <v>43115</v>
      </c>
      <c r="AJ743" s="5" t="s">
        <v>3579</v>
      </c>
      <c r="AK743" s="5" t="s">
        <v>3620</v>
      </c>
    </row>
    <row r="744" spans="35:37">
      <c r="AI744" s="468">
        <v>43116</v>
      </c>
      <c r="AJ744" s="5" t="s">
        <v>3624</v>
      </c>
      <c r="AK744" s="5" t="s">
        <v>3622</v>
      </c>
    </row>
    <row r="745" spans="35:37">
      <c r="AI745" s="468">
        <v>43117</v>
      </c>
      <c r="AJ745" s="5" t="s">
        <v>3626</v>
      </c>
      <c r="AK745" s="5" t="s">
        <v>3625</v>
      </c>
    </row>
    <row r="746" spans="35:37">
      <c r="AI746" s="468">
        <v>43118</v>
      </c>
      <c r="AJ746" s="5" t="s">
        <v>3628</v>
      </c>
      <c r="AK746" s="5" t="s">
        <v>3627</v>
      </c>
    </row>
    <row r="747" spans="35:37">
      <c r="AI747" s="468">
        <v>43119</v>
      </c>
      <c r="AJ747" s="5" t="s">
        <v>3617</v>
      </c>
      <c r="AK747" s="5" t="s">
        <v>3618</v>
      </c>
    </row>
    <row r="748" spans="35:37">
      <c r="AI748" s="468">
        <v>43120</v>
      </c>
      <c r="AJ748" s="5" t="s">
        <v>3619</v>
      </c>
      <c r="AK748" s="5" t="s">
        <v>3620</v>
      </c>
    </row>
    <row r="749" spans="35:37">
      <c r="AI749" s="468">
        <v>43121</v>
      </c>
      <c r="AJ749" s="5" t="s">
        <v>3621</v>
      </c>
      <c r="AK749" s="5" t="s">
        <v>3622</v>
      </c>
    </row>
    <row r="750" spans="35:37">
      <c r="AI750" s="468">
        <v>43122</v>
      </c>
      <c r="AJ750" s="5" t="s">
        <v>3579</v>
      </c>
      <c r="AK750" s="5" t="s">
        <v>3623</v>
      </c>
    </row>
    <row r="751" spans="35:37">
      <c r="AI751" s="468">
        <v>43123</v>
      </c>
      <c r="AJ751" s="5" t="s">
        <v>3624</v>
      </c>
      <c r="AK751" s="5" t="s">
        <v>3625</v>
      </c>
    </row>
    <row r="752" spans="35:37">
      <c r="AI752" s="468">
        <v>43124</v>
      </c>
      <c r="AJ752" s="5" t="s">
        <v>3626</v>
      </c>
      <c r="AK752" s="5" t="s">
        <v>3627</v>
      </c>
    </row>
    <row r="753" spans="35:37">
      <c r="AI753" s="468">
        <v>43125</v>
      </c>
      <c r="AJ753" s="5" t="s">
        <v>3628</v>
      </c>
      <c r="AK753" s="5" t="s">
        <v>3618</v>
      </c>
    </row>
    <row r="754" spans="35:37">
      <c r="AI754" s="468">
        <v>43126</v>
      </c>
      <c r="AJ754" s="5" t="s">
        <v>3617</v>
      </c>
      <c r="AK754" s="5" t="s">
        <v>3620</v>
      </c>
    </row>
    <row r="755" spans="35:37">
      <c r="AI755" s="468">
        <v>43127</v>
      </c>
      <c r="AJ755" s="5" t="s">
        <v>3619</v>
      </c>
      <c r="AK755" s="5" t="s">
        <v>3622</v>
      </c>
    </row>
    <row r="756" spans="35:37">
      <c r="AI756" s="468">
        <v>43128</v>
      </c>
      <c r="AJ756" s="5" t="s">
        <v>3621</v>
      </c>
      <c r="AK756" s="5" t="s">
        <v>3623</v>
      </c>
    </row>
    <row r="757" spans="35:37">
      <c r="AI757" s="468">
        <v>43129</v>
      </c>
      <c r="AJ757" s="5" t="s">
        <v>3579</v>
      </c>
      <c r="AK757" s="5" t="s">
        <v>3625</v>
      </c>
    </row>
    <row r="758" spans="35:37">
      <c r="AI758" s="468">
        <v>43130</v>
      </c>
      <c r="AJ758" s="5" t="s">
        <v>3624</v>
      </c>
      <c r="AK758" s="5" t="s">
        <v>3627</v>
      </c>
    </row>
    <row r="759" spans="35:37">
      <c r="AI759" s="468">
        <v>43131</v>
      </c>
      <c r="AJ759" s="5" t="s">
        <v>3626</v>
      </c>
      <c r="AK759" s="5" t="s">
        <v>3618</v>
      </c>
    </row>
    <row r="760" spans="35:37">
      <c r="AI760" s="468">
        <v>43132</v>
      </c>
      <c r="AJ760" s="5" t="s">
        <v>3628</v>
      </c>
      <c r="AK760" s="5" t="s">
        <v>3620</v>
      </c>
    </row>
    <row r="761" spans="35:37">
      <c r="AI761" s="468">
        <v>43133</v>
      </c>
      <c r="AJ761" s="5" t="s">
        <v>3617</v>
      </c>
      <c r="AK761" s="5" t="s">
        <v>3622</v>
      </c>
    </row>
    <row r="762" spans="35:37">
      <c r="AI762" s="468">
        <v>43134</v>
      </c>
      <c r="AJ762" s="5" t="s">
        <v>3619</v>
      </c>
      <c r="AK762" s="5" t="s">
        <v>3623</v>
      </c>
    </row>
    <row r="763" spans="35:37">
      <c r="AI763" s="468">
        <v>43135</v>
      </c>
      <c r="AJ763" s="5" t="s">
        <v>3621</v>
      </c>
      <c r="AK763" s="5" t="s">
        <v>3625</v>
      </c>
    </row>
    <row r="764" spans="35:37">
      <c r="AI764" s="468">
        <v>43136</v>
      </c>
      <c r="AJ764" s="5" t="s">
        <v>3579</v>
      </c>
      <c r="AK764" s="5" t="s">
        <v>3627</v>
      </c>
    </row>
    <row r="765" spans="35:37">
      <c r="AI765" s="468">
        <v>43137</v>
      </c>
      <c r="AJ765" s="5" t="s">
        <v>3624</v>
      </c>
      <c r="AK765" s="5" t="s">
        <v>3618</v>
      </c>
    </row>
    <row r="766" spans="35:37">
      <c r="AI766" s="468">
        <v>43138</v>
      </c>
      <c r="AJ766" s="5" t="s">
        <v>3626</v>
      </c>
      <c r="AK766" s="5" t="s">
        <v>3620</v>
      </c>
    </row>
    <row r="767" spans="35:37">
      <c r="AI767" s="468">
        <v>43139</v>
      </c>
      <c r="AJ767" s="5" t="s">
        <v>3628</v>
      </c>
      <c r="AK767" s="5" t="s">
        <v>3622</v>
      </c>
    </row>
    <row r="768" spans="35:37">
      <c r="AI768" s="468">
        <v>43140</v>
      </c>
      <c r="AJ768" s="5" t="s">
        <v>3617</v>
      </c>
      <c r="AK768" s="5" t="s">
        <v>3623</v>
      </c>
    </row>
    <row r="769" spans="35:37">
      <c r="AI769" s="468">
        <v>43141</v>
      </c>
      <c r="AJ769" s="5" t="s">
        <v>3619</v>
      </c>
      <c r="AK769" s="5" t="s">
        <v>3625</v>
      </c>
    </row>
    <row r="770" spans="35:37">
      <c r="AI770" s="468">
        <v>43142</v>
      </c>
      <c r="AJ770" s="5" t="s">
        <v>3621</v>
      </c>
      <c r="AK770" s="5" t="s">
        <v>3627</v>
      </c>
    </row>
    <row r="771" spans="35:37">
      <c r="AI771" s="468">
        <v>43143</v>
      </c>
      <c r="AJ771" s="5" t="s">
        <v>3579</v>
      </c>
      <c r="AK771" s="5" t="s">
        <v>3618</v>
      </c>
    </row>
    <row r="772" spans="35:37">
      <c r="AI772" s="468">
        <v>43144</v>
      </c>
      <c r="AJ772" s="5" t="s">
        <v>3624</v>
      </c>
      <c r="AK772" s="5" t="s">
        <v>3620</v>
      </c>
    </row>
    <row r="773" spans="35:37">
      <c r="AI773" s="468">
        <v>43145</v>
      </c>
      <c r="AJ773" s="5" t="s">
        <v>3626</v>
      </c>
      <c r="AK773" s="5" t="s">
        <v>3622</v>
      </c>
    </row>
    <row r="774" spans="35:37">
      <c r="AI774" s="468">
        <v>43146</v>
      </c>
      <c r="AJ774" s="5" t="s">
        <v>3628</v>
      </c>
      <c r="AK774" s="5" t="s">
        <v>3623</v>
      </c>
    </row>
    <row r="775" spans="35:37">
      <c r="AI775" s="468">
        <v>43147</v>
      </c>
      <c r="AJ775" s="5" t="s">
        <v>3617</v>
      </c>
      <c r="AK775" s="5" t="s">
        <v>3627</v>
      </c>
    </row>
    <row r="776" spans="35:37">
      <c r="AI776" s="468">
        <v>43148</v>
      </c>
      <c r="AJ776" s="5" t="s">
        <v>3619</v>
      </c>
      <c r="AK776" s="5" t="s">
        <v>3618</v>
      </c>
    </row>
    <row r="777" spans="35:37">
      <c r="AI777" s="468">
        <v>43149</v>
      </c>
      <c r="AJ777" s="5" t="s">
        <v>3621</v>
      </c>
      <c r="AK777" s="5" t="s">
        <v>3620</v>
      </c>
    </row>
    <row r="778" spans="35:37">
      <c r="AI778" s="468">
        <v>43150</v>
      </c>
      <c r="AJ778" s="5" t="s">
        <v>3579</v>
      </c>
      <c r="AK778" s="5" t="s">
        <v>3622</v>
      </c>
    </row>
    <row r="779" spans="35:37">
      <c r="AI779" s="468">
        <v>43151</v>
      </c>
      <c r="AJ779" s="5" t="s">
        <v>3624</v>
      </c>
      <c r="AK779" s="5" t="s">
        <v>3623</v>
      </c>
    </row>
    <row r="780" spans="35:37">
      <c r="AI780" s="468">
        <v>43152</v>
      </c>
      <c r="AJ780" s="5" t="s">
        <v>3626</v>
      </c>
      <c r="AK780" s="5" t="s">
        <v>3625</v>
      </c>
    </row>
    <row r="781" spans="35:37">
      <c r="AI781" s="468">
        <v>43153</v>
      </c>
      <c r="AJ781" s="5" t="s">
        <v>3628</v>
      </c>
      <c r="AK781" s="5" t="s">
        <v>3627</v>
      </c>
    </row>
    <row r="782" spans="35:37">
      <c r="AI782" s="468">
        <v>43154</v>
      </c>
      <c r="AJ782" s="5" t="s">
        <v>3617</v>
      </c>
      <c r="AK782" s="5" t="s">
        <v>3618</v>
      </c>
    </row>
    <row r="783" spans="35:37">
      <c r="AI783" s="468">
        <v>43155</v>
      </c>
      <c r="AJ783" s="5" t="s">
        <v>3619</v>
      </c>
      <c r="AK783" s="5" t="s">
        <v>3620</v>
      </c>
    </row>
    <row r="784" spans="35:37">
      <c r="AI784" s="468">
        <v>43156</v>
      </c>
      <c r="AJ784" s="5" t="s">
        <v>3621</v>
      </c>
      <c r="AK784" s="5" t="s">
        <v>3622</v>
      </c>
    </row>
    <row r="785" spans="35:37">
      <c r="AI785" s="468">
        <v>43157</v>
      </c>
      <c r="AJ785" s="5" t="s">
        <v>3579</v>
      </c>
      <c r="AK785" s="5" t="s">
        <v>3623</v>
      </c>
    </row>
    <row r="786" spans="35:37">
      <c r="AI786" s="468">
        <v>43158</v>
      </c>
      <c r="AJ786" s="5" t="s">
        <v>3624</v>
      </c>
      <c r="AK786" s="5" t="s">
        <v>3625</v>
      </c>
    </row>
    <row r="787" spans="35:37">
      <c r="AI787" s="468">
        <v>43159</v>
      </c>
      <c r="AJ787" s="5" t="s">
        <v>3626</v>
      </c>
      <c r="AK787" s="5" t="s">
        <v>3627</v>
      </c>
    </row>
    <row r="788" spans="35:37">
      <c r="AI788" s="468">
        <v>43160</v>
      </c>
      <c r="AJ788" s="5" t="s">
        <v>3628</v>
      </c>
      <c r="AK788" s="5" t="s">
        <v>3618</v>
      </c>
    </row>
    <row r="789" spans="35:37">
      <c r="AI789" s="468">
        <v>43161</v>
      </c>
      <c r="AJ789" s="5" t="s">
        <v>3617</v>
      </c>
      <c r="AK789" s="5" t="s">
        <v>3620</v>
      </c>
    </row>
    <row r="790" spans="35:37">
      <c r="AI790" s="468">
        <v>43162</v>
      </c>
      <c r="AJ790" s="5" t="s">
        <v>3619</v>
      </c>
      <c r="AK790" s="5" t="s">
        <v>3622</v>
      </c>
    </row>
    <row r="791" spans="35:37">
      <c r="AI791" s="468">
        <v>43163</v>
      </c>
      <c r="AJ791" s="5" t="s">
        <v>3621</v>
      </c>
      <c r="AK791" s="5" t="s">
        <v>3623</v>
      </c>
    </row>
    <row r="792" spans="35:37">
      <c r="AI792" s="468">
        <v>43164</v>
      </c>
      <c r="AJ792" s="5" t="s">
        <v>3579</v>
      </c>
      <c r="AK792" s="5" t="s">
        <v>3625</v>
      </c>
    </row>
    <row r="793" spans="35:37">
      <c r="AI793" s="468">
        <v>43165</v>
      </c>
      <c r="AJ793" s="5" t="s">
        <v>3624</v>
      </c>
      <c r="AK793" s="5" t="s">
        <v>3627</v>
      </c>
    </row>
    <row r="794" spans="35:37">
      <c r="AI794" s="468">
        <v>43166</v>
      </c>
      <c r="AJ794" s="5" t="s">
        <v>3626</v>
      </c>
      <c r="AK794" s="5" t="s">
        <v>3618</v>
      </c>
    </row>
    <row r="795" spans="35:37">
      <c r="AI795" s="468">
        <v>43167</v>
      </c>
      <c r="AJ795" s="5" t="s">
        <v>3628</v>
      </c>
      <c r="AK795" s="5" t="s">
        <v>3620</v>
      </c>
    </row>
    <row r="796" spans="35:37">
      <c r="AI796" s="468">
        <v>43168</v>
      </c>
      <c r="AJ796" s="5" t="s">
        <v>3617</v>
      </c>
      <c r="AK796" s="5" t="s">
        <v>3622</v>
      </c>
    </row>
    <row r="797" spans="35:37">
      <c r="AI797" s="468">
        <v>43169</v>
      </c>
      <c r="AJ797" s="5" t="s">
        <v>3619</v>
      </c>
      <c r="AK797" s="5" t="s">
        <v>3623</v>
      </c>
    </row>
    <row r="798" spans="35:37">
      <c r="AI798" s="468">
        <v>43170</v>
      </c>
      <c r="AJ798" s="5" t="s">
        <v>3621</v>
      </c>
      <c r="AK798" s="5" t="s">
        <v>3625</v>
      </c>
    </row>
    <row r="799" spans="35:37">
      <c r="AI799" s="468">
        <v>43171</v>
      </c>
      <c r="AJ799" s="5" t="s">
        <v>3579</v>
      </c>
      <c r="AK799" s="5" t="s">
        <v>3627</v>
      </c>
    </row>
    <row r="800" spans="35:37">
      <c r="AI800" s="468">
        <v>43172</v>
      </c>
      <c r="AJ800" s="5" t="s">
        <v>3624</v>
      </c>
      <c r="AK800" s="5" t="s">
        <v>3618</v>
      </c>
    </row>
    <row r="801" spans="35:37">
      <c r="AI801" s="468">
        <v>43173</v>
      </c>
      <c r="AJ801" s="5" t="s">
        <v>3626</v>
      </c>
      <c r="AK801" s="5" t="s">
        <v>3620</v>
      </c>
    </row>
    <row r="802" spans="35:37">
      <c r="AI802" s="468">
        <v>43174</v>
      </c>
      <c r="AJ802" s="5" t="s">
        <v>3628</v>
      </c>
      <c r="AK802" s="5" t="s">
        <v>3622</v>
      </c>
    </row>
    <row r="803" spans="35:37">
      <c r="AI803" s="468">
        <v>43175</v>
      </c>
      <c r="AJ803" s="5" t="s">
        <v>3617</v>
      </c>
      <c r="AK803" s="5" t="s">
        <v>3623</v>
      </c>
    </row>
    <row r="804" spans="35:37">
      <c r="AI804" s="468">
        <v>43176</v>
      </c>
      <c r="AJ804" s="5" t="s">
        <v>3619</v>
      </c>
      <c r="AK804" s="5" t="s">
        <v>3618</v>
      </c>
    </row>
    <row r="805" spans="35:37">
      <c r="AI805" s="468">
        <v>43177</v>
      </c>
      <c r="AJ805" s="5" t="s">
        <v>3621</v>
      </c>
      <c r="AK805" s="5" t="s">
        <v>3620</v>
      </c>
    </row>
    <row r="806" spans="35:37">
      <c r="AI806" s="468">
        <v>43178</v>
      </c>
      <c r="AJ806" s="5" t="s">
        <v>3579</v>
      </c>
      <c r="AK806" s="5" t="s">
        <v>3622</v>
      </c>
    </row>
    <row r="807" spans="35:37">
      <c r="AI807" s="468">
        <v>43179</v>
      </c>
      <c r="AJ807" s="5" t="s">
        <v>3624</v>
      </c>
      <c r="AK807" s="5" t="s">
        <v>3623</v>
      </c>
    </row>
    <row r="808" spans="35:37">
      <c r="AI808" s="468">
        <v>43180</v>
      </c>
      <c r="AJ808" s="5" t="s">
        <v>3626</v>
      </c>
      <c r="AK808" s="5" t="s">
        <v>3625</v>
      </c>
    </row>
    <row r="809" spans="35:37">
      <c r="AI809" s="468">
        <v>43181</v>
      </c>
      <c r="AJ809" s="5" t="s">
        <v>3628</v>
      </c>
      <c r="AK809" s="5" t="s">
        <v>3627</v>
      </c>
    </row>
    <row r="810" spans="35:37">
      <c r="AI810" s="468">
        <v>43182</v>
      </c>
      <c r="AJ810" s="5" t="s">
        <v>3617</v>
      </c>
      <c r="AK810" s="5" t="s">
        <v>3618</v>
      </c>
    </row>
    <row r="811" spans="35:37">
      <c r="AI811" s="468">
        <v>43183</v>
      </c>
      <c r="AJ811" s="5" t="s">
        <v>3619</v>
      </c>
      <c r="AK811" s="5" t="s">
        <v>3620</v>
      </c>
    </row>
    <row r="812" spans="35:37">
      <c r="AI812" s="468">
        <v>43184</v>
      </c>
      <c r="AJ812" s="5" t="s">
        <v>3621</v>
      </c>
      <c r="AK812" s="5" t="s">
        <v>3622</v>
      </c>
    </row>
    <row r="813" spans="35:37">
      <c r="AI813" s="468">
        <v>43185</v>
      </c>
      <c r="AJ813" s="5" t="s">
        <v>3579</v>
      </c>
      <c r="AK813" s="5" t="s">
        <v>3623</v>
      </c>
    </row>
    <row r="814" spans="35:37">
      <c r="AI814" s="468">
        <v>43186</v>
      </c>
      <c r="AJ814" s="5" t="s">
        <v>3624</v>
      </c>
      <c r="AK814" s="5" t="s">
        <v>3625</v>
      </c>
    </row>
    <row r="815" spans="35:37">
      <c r="AI815" s="468">
        <v>43187</v>
      </c>
      <c r="AJ815" s="5" t="s">
        <v>3626</v>
      </c>
      <c r="AK815" s="5" t="s">
        <v>3627</v>
      </c>
    </row>
    <row r="816" spans="35:37">
      <c r="AI816" s="468">
        <v>43188</v>
      </c>
      <c r="AJ816" s="5" t="s">
        <v>3628</v>
      </c>
      <c r="AK816" s="5" t="s">
        <v>3618</v>
      </c>
    </row>
    <row r="817" spans="35:37">
      <c r="AI817" s="468">
        <v>43189</v>
      </c>
      <c r="AJ817" s="5" t="s">
        <v>3617</v>
      </c>
      <c r="AK817" s="5" t="s">
        <v>3620</v>
      </c>
    </row>
    <row r="818" spans="35:37">
      <c r="AI818" s="468">
        <v>43190</v>
      </c>
      <c r="AJ818" s="5" t="s">
        <v>3619</v>
      </c>
      <c r="AK818" s="5" t="s">
        <v>3622</v>
      </c>
    </row>
    <row r="819" spans="35:37">
      <c r="AI819" s="468">
        <v>43191</v>
      </c>
      <c r="AJ819" s="5" t="s">
        <v>3621</v>
      </c>
      <c r="AK819" s="5" t="s">
        <v>3623</v>
      </c>
    </row>
    <row r="820" spans="35:37">
      <c r="AI820" s="468">
        <v>43192</v>
      </c>
      <c r="AJ820" s="5" t="s">
        <v>3579</v>
      </c>
      <c r="AK820" s="5" t="s">
        <v>3625</v>
      </c>
    </row>
    <row r="821" spans="35:37">
      <c r="AI821" s="468">
        <v>43193</v>
      </c>
      <c r="AJ821" s="5" t="s">
        <v>3624</v>
      </c>
      <c r="AK821" s="5" t="s">
        <v>3627</v>
      </c>
    </row>
    <row r="822" spans="35:37">
      <c r="AI822" s="468">
        <v>43194</v>
      </c>
      <c r="AJ822" s="5" t="s">
        <v>3626</v>
      </c>
      <c r="AK822" s="5" t="s">
        <v>3618</v>
      </c>
    </row>
    <row r="823" spans="35:37">
      <c r="AI823" s="468">
        <v>43195</v>
      </c>
      <c r="AJ823" s="5" t="s">
        <v>3628</v>
      </c>
      <c r="AK823" s="5" t="s">
        <v>3620</v>
      </c>
    </row>
    <row r="824" spans="35:37">
      <c r="AI824" s="468">
        <v>43196</v>
      </c>
      <c r="AJ824" s="5" t="s">
        <v>3617</v>
      </c>
      <c r="AK824" s="5" t="s">
        <v>3622</v>
      </c>
    </row>
    <row r="825" spans="35:37">
      <c r="AI825" s="468">
        <v>43197</v>
      </c>
      <c r="AJ825" s="5" t="s">
        <v>3619</v>
      </c>
      <c r="AK825" s="5" t="s">
        <v>3623</v>
      </c>
    </row>
    <row r="826" spans="35:37">
      <c r="AI826" s="468">
        <v>43198</v>
      </c>
      <c r="AJ826" s="5" t="s">
        <v>3621</v>
      </c>
      <c r="AK826" s="5" t="s">
        <v>3625</v>
      </c>
    </row>
    <row r="827" spans="35:37">
      <c r="AI827" s="468">
        <v>43199</v>
      </c>
      <c r="AJ827" s="5" t="s">
        <v>3579</v>
      </c>
      <c r="AK827" s="5" t="s">
        <v>3627</v>
      </c>
    </row>
    <row r="828" spans="35:37">
      <c r="AI828" s="468">
        <v>43200</v>
      </c>
      <c r="AJ828" s="5" t="s">
        <v>3624</v>
      </c>
      <c r="AK828" s="5" t="s">
        <v>3618</v>
      </c>
    </row>
    <row r="829" spans="35:37">
      <c r="AI829" s="468">
        <v>43201</v>
      </c>
      <c r="AJ829" s="5" t="s">
        <v>3626</v>
      </c>
      <c r="AK829" s="5" t="s">
        <v>3620</v>
      </c>
    </row>
    <row r="830" spans="35:37">
      <c r="AI830" s="468">
        <v>43202</v>
      </c>
      <c r="AJ830" s="5" t="s">
        <v>3628</v>
      </c>
      <c r="AK830" s="5" t="s">
        <v>3622</v>
      </c>
    </row>
    <row r="831" spans="35:37">
      <c r="AI831" s="468">
        <v>43203</v>
      </c>
      <c r="AJ831" s="5" t="s">
        <v>3617</v>
      </c>
      <c r="AK831" s="5" t="s">
        <v>3623</v>
      </c>
    </row>
    <row r="832" spans="35:37">
      <c r="AI832" s="468">
        <v>43204</v>
      </c>
      <c r="AJ832" s="5" t="s">
        <v>3619</v>
      </c>
      <c r="AK832" s="5" t="s">
        <v>3625</v>
      </c>
    </row>
    <row r="833" spans="35:37">
      <c r="AI833" s="468">
        <v>43205</v>
      </c>
      <c r="AJ833" s="5" t="s">
        <v>3621</v>
      </c>
      <c r="AK833" s="5" t="s">
        <v>3627</v>
      </c>
    </row>
    <row r="834" spans="35:37">
      <c r="AI834" s="468">
        <v>43206</v>
      </c>
      <c r="AJ834" s="5" t="s">
        <v>3579</v>
      </c>
      <c r="AK834" s="5" t="s">
        <v>3620</v>
      </c>
    </row>
    <row r="835" spans="35:37">
      <c r="AI835" s="468">
        <v>43207</v>
      </c>
      <c r="AJ835" s="5" t="s">
        <v>3624</v>
      </c>
      <c r="AK835" s="5" t="s">
        <v>3622</v>
      </c>
    </row>
    <row r="836" spans="35:37">
      <c r="AI836" s="468">
        <v>43208</v>
      </c>
      <c r="AJ836" s="5" t="s">
        <v>3626</v>
      </c>
      <c r="AK836" s="5" t="s">
        <v>3623</v>
      </c>
    </row>
    <row r="837" spans="35:37">
      <c r="AI837" s="468">
        <v>43209</v>
      </c>
      <c r="AJ837" s="5" t="s">
        <v>3628</v>
      </c>
      <c r="AK837" s="5" t="s">
        <v>3625</v>
      </c>
    </row>
    <row r="838" spans="35:37">
      <c r="AI838" s="468">
        <v>43210</v>
      </c>
      <c r="AJ838" s="5" t="s">
        <v>3617</v>
      </c>
      <c r="AK838" s="5" t="s">
        <v>3627</v>
      </c>
    </row>
    <row r="839" spans="35:37">
      <c r="AI839" s="468">
        <v>43211</v>
      </c>
      <c r="AJ839" s="5" t="s">
        <v>3619</v>
      </c>
      <c r="AK839" s="5" t="s">
        <v>3618</v>
      </c>
    </row>
    <row r="840" spans="35:37">
      <c r="AI840" s="468">
        <v>43212</v>
      </c>
      <c r="AJ840" s="5" t="s">
        <v>3621</v>
      </c>
      <c r="AK840" s="5" t="s">
        <v>3620</v>
      </c>
    </row>
    <row r="841" spans="35:37">
      <c r="AI841" s="468">
        <v>43213</v>
      </c>
      <c r="AJ841" s="5" t="s">
        <v>3579</v>
      </c>
      <c r="AK841" s="5" t="s">
        <v>3622</v>
      </c>
    </row>
    <row r="842" spans="35:37">
      <c r="AI842" s="468">
        <v>43214</v>
      </c>
      <c r="AJ842" s="5" t="s">
        <v>3624</v>
      </c>
      <c r="AK842" s="5" t="s">
        <v>3623</v>
      </c>
    </row>
    <row r="843" spans="35:37">
      <c r="AI843" s="468">
        <v>43215</v>
      </c>
      <c r="AJ843" s="5" t="s">
        <v>3626</v>
      </c>
      <c r="AK843" s="5" t="s">
        <v>3625</v>
      </c>
    </row>
    <row r="844" spans="35:37">
      <c r="AI844" s="468">
        <v>43216</v>
      </c>
      <c r="AJ844" s="5" t="s">
        <v>3628</v>
      </c>
      <c r="AK844" s="5" t="s">
        <v>3627</v>
      </c>
    </row>
    <row r="845" spans="35:37">
      <c r="AI845" s="468">
        <v>43217</v>
      </c>
      <c r="AJ845" s="5" t="s">
        <v>3617</v>
      </c>
      <c r="AK845" s="5" t="s">
        <v>3618</v>
      </c>
    </row>
    <row r="846" spans="35:37">
      <c r="AI846" s="468">
        <v>43218</v>
      </c>
      <c r="AJ846" s="5" t="s">
        <v>3619</v>
      </c>
      <c r="AK846" s="5" t="s">
        <v>3620</v>
      </c>
    </row>
    <row r="847" spans="35:37">
      <c r="AI847" s="468">
        <v>43219</v>
      </c>
      <c r="AJ847" s="5" t="s">
        <v>3621</v>
      </c>
      <c r="AK847" s="5" t="s">
        <v>3622</v>
      </c>
    </row>
    <row r="848" spans="35:37">
      <c r="AI848" s="468">
        <v>43220</v>
      </c>
      <c r="AJ848" s="5" t="s">
        <v>3579</v>
      </c>
      <c r="AK848" s="5" t="s">
        <v>3623</v>
      </c>
    </row>
    <row r="849" spans="35:37">
      <c r="AI849" s="468">
        <v>43221</v>
      </c>
      <c r="AJ849" s="5" t="s">
        <v>3624</v>
      </c>
      <c r="AK849" s="5" t="s">
        <v>3625</v>
      </c>
    </row>
    <row r="850" spans="35:37">
      <c r="AI850" s="468">
        <v>43222</v>
      </c>
      <c r="AJ850" s="5" t="s">
        <v>3626</v>
      </c>
      <c r="AK850" s="5" t="s">
        <v>3627</v>
      </c>
    </row>
    <row r="851" spans="35:37">
      <c r="AI851" s="468">
        <v>43223</v>
      </c>
      <c r="AJ851" s="5" t="s">
        <v>3628</v>
      </c>
      <c r="AK851" s="5" t="s">
        <v>3618</v>
      </c>
    </row>
    <row r="852" spans="35:37">
      <c r="AI852" s="468">
        <v>43224</v>
      </c>
      <c r="AJ852" s="5" t="s">
        <v>3617</v>
      </c>
      <c r="AK852" s="5" t="s">
        <v>3620</v>
      </c>
    </row>
    <row r="853" spans="35:37">
      <c r="AI853" s="468">
        <v>43225</v>
      </c>
      <c r="AJ853" s="5" t="s">
        <v>3619</v>
      </c>
      <c r="AK853" s="5" t="s">
        <v>3622</v>
      </c>
    </row>
    <row r="854" spans="35:37">
      <c r="AI854" s="468">
        <v>43226</v>
      </c>
      <c r="AJ854" s="5" t="s">
        <v>3621</v>
      </c>
      <c r="AK854" s="5" t="s">
        <v>3623</v>
      </c>
    </row>
    <row r="855" spans="35:37">
      <c r="AI855" s="468">
        <v>43227</v>
      </c>
      <c r="AJ855" s="5" t="s">
        <v>3579</v>
      </c>
      <c r="AK855" s="5" t="s">
        <v>3625</v>
      </c>
    </row>
    <row r="856" spans="35:37">
      <c r="AI856" s="468">
        <v>43228</v>
      </c>
      <c r="AJ856" s="5" t="s">
        <v>3624</v>
      </c>
      <c r="AK856" s="5" t="s">
        <v>3627</v>
      </c>
    </row>
    <row r="857" spans="35:37">
      <c r="AI857" s="468">
        <v>43229</v>
      </c>
      <c r="AJ857" s="5" t="s">
        <v>3626</v>
      </c>
      <c r="AK857" s="5" t="s">
        <v>3618</v>
      </c>
    </row>
    <row r="858" spans="35:37">
      <c r="AI858" s="468">
        <v>43230</v>
      </c>
      <c r="AJ858" s="5" t="s">
        <v>3628</v>
      </c>
      <c r="AK858" s="5" t="s">
        <v>3620</v>
      </c>
    </row>
    <row r="859" spans="35:37">
      <c r="AI859" s="468">
        <v>43231</v>
      </c>
      <c r="AJ859" s="5" t="s">
        <v>3617</v>
      </c>
      <c r="AK859" s="5" t="s">
        <v>3622</v>
      </c>
    </row>
    <row r="860" spans="35:37">
      <c r="AI860" s="468">
        <v>43232</v>
      </c>
      <c r="AJ860" s="5" t="s">
        <v>3619</v>
      </c>
      <c r="AK860" s="5" t="s">
        <v>3623</v>
      </c>
    </row>
    <row r="861" spans="35:37">
      <c r="AI861" s="468">
        <v>43233</v>
      </c>
      <c r="AJ861" s="5" t="s">
        <v>3621</v>
      </c>
      <c r="AK861" s="5" t="s">
        <v>3625</v>
      </c>
    </row>
    <row r="862" spans="35:37">
      <c r="AI862" s="468">
        <v>43234</v>
      </c>
      <c r="AJ862" s="5" t="s">
        <v>3579</v>
      </c>
      <c r="AK862" s="5" t="s">
        <v>3627</v>
      </c>
    </row>
    <row r="863" spans="35:37">
      <c r="AI863" s="468">
        <v>43235</v>
      </c>
      <c r="AJ863" s="5" t="s">
        <v>3624</v>
      </c>
      <c r="AK863" s="5" t="s">
        <v>3622</v>
      </c>
    </row>
    <row r="864" spans="35:37">
      <c r="AI864" s="468">
        <v>43236</v>
      </c>
      <c r="AJ864" s="5" t="s">
        <v>3626</v>
      </c>
      <c r="AK864" s="5" t="s">
        <v>3623</v>
      </c>
    </row>
    <row r="865" spans="35:37">
      <c r="AI865" s="468">
        <v>43237</v>
      </c>
      <c r="AJ865" s="5" t="s">
        <v>3628</v>
      </c>
      <c r="AK865" s="5" t="s">
        <v>3625</v>
      </c>
    </row>
    <row r="866" spans="35:37">
      <c r="AI866" s="468">
        <v>43238</v>
      </c>
      <c r="AJ866" s="5" t="s">
        <v>3617</v>
      </c>
      <c r="AK866" s="5" t="s">
        <v>3627</v>
      </c>
    </row>
    <row r="867" spans="35:37">
      <c r="AI867" s="468">
        <v>43239</v>
      </c>
      <c r="AJ867" s="5" t="s">
        <v>3619</v>
      </c>
      <c r="AK867" s="5" t="s">
        <v>3618</v>
      </c>
    </row>
    <row r="868" spans="35:37">
      <c r="AI868" s="468">
        <v>43240</v>
      </c>
      <c r="AJ868" s="5" t="s">
        <v>3621</v>
      </c>
      <c r="AK868" s="5" t="s">
        <v>3620</v>
      </c>
    </row>
    <row r="869" spans="35:37">
      <c r="AI869" s="468">
        <v>43241</v>
      </c>
      <c r="AJ869" s="5" t="s">
        <v>3579</v>
      </c>
      <c r="AK869" s="5" t="s">
        <v>3622</v>
      </c>
    </row>
    <row r="870" spans="35:37">
      <c r="AI870" s="468">
        <v>43242</v>
      </c>
      <c r="AJ870" s="5" t="s">
        <v>3624</v>
      </c>
      <c r="AK870" s="5" t="s">
        <v>3623</v>
      </c>
    </row>
    <row r="871" spans="35:37">
      <c r="AI871" s="468">
        <v>43243</v>
      </c>
      <c r="AJ871" s="5" t="s">
        <v>3626</v>
      </c>
      <c r="AK871" s="5" t="s">
        <v>3625</v>
      </c>
    </row>
    <row r="872" spans="35:37">
      <c r="AI872" s="468">
        <v>43244</v>
      </c>
      <c r="AJ872" s="5" t="s">
        <v>3628</v>
      </c>
      <c r="AK872" s="5" t="s">
        <v>3627</v>
      </c>
    </row>
    <row r="873" spans="35:37">
      <c r="AI873" s="468">
        <v>43245</v>
      </c>
      <c r="AJ873" s="5" t="s">
        <v>3617</v>
      </c>
      <c r="AK873" s="5" t="s">
        <v>3618</v>
      </c>
    </row>
    <row r="874" spans="35:37">
      <c r="AI874" s="468">
        <v>43246</v>
      </c>
      <c r="AJ874" s="5" t="s">
        <v>3619</v>
      </c>
      <c r="AK874" s="5" t="s">
        <v>3620</v>
      </c>
    </row>
    <row r="875" spans="35:37">
      <c r="AI875" s="468">
        <v>43247</v>
      </c>
      <c r="AJ875" s="5" t="s">
        <v>3621</v>
      </c>
      <c r="AK875" s="5" t="s">
        <v>3622</v>
      </c>
    </row>
    <row r="876" spans="35:37">
      <c r="AI876" s="468">
        <v>43248</v>
      </c>
      <c r="AJ876" s="5" t="s">
        <v>3579</v>
      </c>
      <c r="AK876" s="5" t="s">
        <v>3623</v>
      </c>
    </row>
    <row r="877" spans="35:37">
      <c r="AI877" s="468">
        <v>43249</v>
      </c>
      <c r="AJ877" s="5" t="s">
        <v>3624</v>
      </c>
      <c r="AK877" s="5" t="s">
        <v>3625</v>
      </c>
    </row>
    <row r="878" spans="35:37">
      <c r="AI878" s="468">
        <v>43250</v>
      </c>
      <c r="AJ878" s="5" t="s">
        <v>3626</v>
      </c>
      <c r="AK878" s="5" t="s">
        <v>3627</v>
      </c>
    </row>
    <row r="879" spans="35:37">
      <c r="AI879" s="468">
        <v>43251</v>
      </c>
      <c r="AJ879" s="5" t="s">
        <v>3628</v>
      </c>
      <c r="AK879" s="5" t="s">
        <v>3618</v>
      </c>
    </row>
    <row r="880" spans="35:37">
      <c r="AI880" s="468">
        <v>43252</v>
      </c>
      <c r="AJ880" s="5" t="s">
        <v>3617</v>
      </c>
      <c r="AK880" s="5" t="s">
        <v>3620</v>
      </c>
    </row>
    <row r="881" spans="35:37">
      <c r="AI881" s="468">
        <v>43253</v>
      </c>
      <c r="AJ881" s="5" t="s">
        <v>3619</v>
      </c>
      <c r="AK881" s="5" t="s">
        <v>3622</v>
      </c>
    </row>
    <row r="882" spans="35:37">
      <c r="AI882" s="468">
        <v>43254</v>
      </c>
      <c r="AJ882" s="5" t="s">
        <v>3621</v>
      </c>
      <c r="AK882" s="5" t="s">
        <v>3623</v>
      </c>
    </row>
    <row r="883" spans="35:37">
      <c r="AI883" s="468">
        <v>43255</v>
      </c>
      <c r="AJ883" s="5" t="s">
        <v>3579</v>
      </c>
      <c r="AK883" s="5" t="s">
        <v>3625</v>
      </c>
    </row>
    <row r="884" spans="35:37">
      <c r="AI884" s="468">
        <v>43256</v>
      </c>
      <c r="AJ884" s="5" t="s">
        <v>3624</v>
      </c>
      <c r="AK884" s="5" t="s">
        <v>3627</v>
      </c>
    </row>
    <row r="885" spans="35:37">
      <c r="AI885" s="468">
        <v>43257</v>
      </c>
      <c r="AJ885" s="5" t="s">
        <v>3626</v>
      </c>
      <c r="AK885" s="5" t="s">
        <v>3618</v>
      </c>
    </row>
    <row r="886" spans="35:37">
      <c r="AI886" s="468">
        <v>43258</v>
      </c>
      <c r="AJ886" s="5" t="s">
        <v>3628</v>
      </c>
      <c r="AK886" s="5" t="s">
        <v>3620</v>
      </c>
    </row>
    <row r="887" spans="35:37">
      <c r="AI887" s="468">
        <v>43259</v>
      </c>
      <c r="AJ887" s="5" t="s">
        <v>3617</v>
      </c>
      <c r="AK887" s="5" t="s">
        <v>3622</v>
      </c>
    </row>
    <row r="888" spans="35:37">
      <c r="AI888" s="468">
        <v>43260</v>
      </c>
      <c r="AJ888" s="5" t="s">
        <v>3619</v>
      </c>
      <c r="AK888" s="5" t="s">
        <v>3623</v>
      </c>
    </row>
    <row r="889" spans="35:37">
      <c r="AI889" s="468">
        <v>43261</v>
      </c>
      <c r="AJ889" s="5" t="s">
        <v>3621</v>
      </c>
      <c r="AK889" s="5" t="s">
        <v>3625</v>
      </c>
    </row>
    <row r="890" spans="35:37">
      <c r="AI890" s="468">
        <v>43262</v>
      </c>
      <c r="AJ890" s="5" t="s">
        <v>3579</v>
      </c>
      <c r="AK890" s="5" t="s">
        <v>3627</v>
      </c>
    </row>
    <row r="891" spans="35:37">
      <c r="AI891" s="468">
        <v>43263</v>
      </c>
      <c r="AJ891" s="5" t="s">
        <v>3624</v>
      </c>
      <c r="AK891" s="5" t="s">
        <v>3618</v>
      </c>
    </row>
    <row r="892" spans="35:37">
      <c r="AI892" s="468">
        <v>43264</v>
      </c>
      <c r="AJ892" s="5" t="s">
        <v>3626</v>
      </c>
      <c r="AK892" s="5" t="s">
        <v>3620</v>
      </c>
    </row>
    <row r="893" spans="35:37">
      <c r="AI893" s="468">
        <v>43265</v>
      </c>
      <c r="AJ893" s="5" t="s">
        <v>3628</v>
      </c>
      <c r="AK893" s="5" t="s">
        <v>3623</v>
      </c>
    </row>
    <row r="894" spans="35:37">
      <c r="AI894" s="468">
        <v>43266</v>
      </c>
      <c r="AJ894" s="5" t="s">
        <v>3617</v>
      </c>
      <c r="AK894" s="5" t="s">
        <v>3625</v>
      </c>
    </row>
    <row r="895" spans="35:37">
      <c r="AI895" s="468">
        <v>43267</v>
      </c>
      <c r="AJ895" s="5" t="s">
        <v>3619</v>
      </c>
      <c r="AK895" s="5" t="s">
        <v>3627</v>
      </c>
    </row>
    <row r="896" spans="35:37">
      <c r="AI896" s="468">
        <v>43268</v>
      </c>
      <c r="AJ896" s="5" t="s">
        <v>3621</v>
      </c>
      <c r="AK896" s="5" t="s">
        <v>3618</v>
      </c>
    </row>
    <row r="897" spans="35:37">
      <c r="AI897" s="468">
        <v>43269</v>
      </c>
      <c r="AJ897" s="5" t="s">
        <v>3579</v>
      </c>
      <c r="AK897" s="5" t="s">
        <v>3620</v>
      </c>
    </row>
    <row r="898" spans="35:37">
      <c r="AI898" s="468">
        <v>43270</v>
      </c>
      <c r="AJ898" s="5" t="s">
        <v>3624</v>
      </c>
      <c r="AK898" s="5" t="s">
        <v>3622</v>
      </c>
    </row>
    <row r="899" spans="35:37">
      <c r="AI899" s="468">
        <v>43271</v>
      </c>
      <c r="AJ899" s="5" t="s">
        <v>3626</v>
      </c>
      <c r="AK899" s="5" t="s">
        <v>3623</v>
      </c>
    </row>
    <row r="900" spans="35:37">
      <c r="AI900" s="468">
        <v>43272</v>
      </c>
      <c r="AJ900" s="5" t="s">
        <v>3628</v>
      </c>
      <c r="AK900" s="5" t="s">
        <v>3625</v>
      </c>
    </row>
    <row r="901" spans="35:37">
      <c r="AI901" s="468">
        <v>43273</v>
      </c>
      <c r="AJ901" s="5" t="s">
        <v>3617</v>
      </c>
      <c r="AK901" s="5" t="s">
        <v>3627</v>
      </c>
    </row>
    <row r="902" spans="35:37">
      <c r="AI902" s="468">
        <v>43274</v>
      </c>
      <c r="AJ902" s="5" t="s">
        <v>3619</v>
      </c>
      <c r="AK902" s="5" t="s">
        <v>3618</v>
      </c>
    </row>
    <row r="903" spans="35:37">
      <c r="AI903" s="468">
        <v>43275</v>
      </c>
      <c r="AJ903" s="5" t="s">
        <v>3621</v>
      </c>
      <c r="AK903" s="5" t="s">
        <v>3620</v>
      </c>
    </row>
    <row r="904" spans="35:37">
      <c r="AI904" s="468">
        <v>43276</v>
      </c>
      <c r="AJ904" s="5" t="s">
        <v>3579</v>
      </c>
      <c r="AK904" s="5" t="s">
        <v>3622</v>
      </c>
    </row>
    <row r="905" spans="35:37">
      <c r="AI905" s="468">
        <v>43277</v>
      </c>
      <c r="AJ905" s="5" t="s">
        <v>3624</v>
      </c>
      <c r="AK905" s="5" t="s">
        <v>3623</v>
      </c>
    </row>
    <row r="906" spans="35:37">
      <c r="AI906" s="468">
        <v>43278</v>
      </c>
      <c r="AJ906" s="5" t="s">
        <v>3626</v>
      </c>
      <c r="AK906" s="5" t="s">
        <v>3625</v>
      </c>
    </row>
    <row r="907" spans="35:37">
      <c r="AI907" s="468">
        <v>43279</v>
      </c>
      <c r="AJ907" s="5" t="s">
        <v>3628</v>
      </c>
      <c r="AK907" s="5" t="s">
        <v>3627</v>
      </c>
    </row>
    <row r="908" spans="35:37">
      <c r="AI908" s="468">
        <v>43280</v>
      </c>
      <c r="AJ908" s="5" t="s">
        <v>3617</v>
      </c>
      <c r="AK908" s="5" t="s">
        <v>3618</v>
      </c>
    </row>
    <row r="909" spans="35:37">
      <c r="AI909" s="468">
        <v>43281</v>
      </c>
      <c r="AJ909" s="5" t="s">
        <v>3619</v>
      </c>
      <c r="AK909" s="5" t="s">
        <v>3620</v>
      </c>
    </row>
    <row r="910" spans="35:37">
      <c r="AI910" s="468">
        <v>43282</v>
      </c>
      <c r="AJ910" s="5" t="s">
        <v>3621</v>
      </c>
      <c r="AK910" s="5" t="s">
        <v>3622</v>
      </c>
    </row>
    <row r="911" spans="35:37">
      <c r="AI911" s="468">
        <v>43283</v>
      </c>
      <c r="AJ911" s="5" t="s">
        <v>3579</v>
      </c>
      <c r="AK911" s="5" t="s">
        <v>3623</v>
      </c>
    </row>
    <row r="912" spans="35:37">
      <c r="AI912" s="468">
        <v>43284</v>
      </c>
      <c r="AJ912" s="5" t="s">
        <v>3624</v>
      </c>
      <c r="AK912" s="5" t="s">
        <v>3625</v>
      </c>
    </row>
    <row r="913" spans="35:37">
      <c r="AI913" s="468">
        <v>43285</v>
      </c>
      <c r="AJ913" s="5" t="s">
        <v>3626</v>
      </c>
      <c r="AK913" s="5" t="s">
        <v>3627</v>
      </c>
    </row>
    <row r="914" spans="35:37">
      <c r="AI914" s="468">
        <v>43286</v>
      </c>
      <c r="AJ914" s="5" t="s">
        <v>3628</v>
      </c>
      <c r="AK914" s="5" t="s">
        <v>3618</v>
      </c>
    </row>
    <row r="915" spans="35:37">
      <c r="AI915" s="468">
        <v>43287</v>
      </c>
      <c r="AJ915" s="5" t="s">
        <v>3617</v>
      </c>
      <c r="AK915" s="5" t="s">
        <v>3620</v>
      </c>
    </row>
    <row r="916" spans="35:37">
      <c r="AI916" s="468">
        <v>43288</v>
      </c>
      <c r="AJ916" s="5" t="s">
        <v>3619</v>
      </c>
      <c r="AK916" s="5" t="s">
        <v>3622</v>
      </c>
    </row>
    <row r="917" spans="35:37">
      <c r="AI917" s="468">
        <v>43289</v>
      </c>
      <c r="AJ917" s="5" t="s">
        <v>3621</v>
      </c>
      <c r="AK917" s="5" t="s">
        <v>3623</v>
      </c>
    </row>
    <row r="918" spans="35:37">
      <c r="AI918" s="468">
        <v>43290</v>
      </c>
      <c r="AJ918" s="5" t="s">
        <v>3579</v>
      </c>
      <c r="AK918" s="5" t="s">
        <v>3625</v>
      </c>
    </row>
    <row r="919" spans="35:37">
      <c r="AI919" s="468">
        <v>43291</v>
      </c>
      <c r="AJ919" s="5" t="s">
        <v>3624</v>
      </c>
      <c r="AK919" s="5" t="s">
        <v>3627</v>
      </c>
    </row>
    <row r="920" spans="35:37">
      <c r="AI920" s="468">
        <v>43292</v>
      </c>
      <c r="AJ920" s="5" t="s">
        <v>3626</v>
      </c>
      <c r="AK920" s="5" t="s">
        <v>3618</v>
      </c>
    </row>
    <row r="921" spans="35:37">
      <c r="AI921" s="468">
        <v>43293</v>
      </c>
      <c r="AJ921" s="5" t="s">
        <v>3628</v>
      </c>
      <c r="AK921" s="5" t="s">
        <v>3620</v>
      </c>
    </row>
    <row r="922" spans="35:37">
      <c r="AI922" s="468">
        <v>43294</v>
      </c>
      <c r="AJ922" s="5" t="s">
        <v>3617</v>
      </c>
      <c r="AK922" s="5" t="s">
        <v>3625</v>
      </c>
    </row>
    <row r="923" spans="35:37">
      <c r="AI923" s="468">
        <v>43295</v>
      </c>
      <c r="AJ923" s="5" t="s">
        <v>3619</v>
      </c>
      <c r="AK923" s="5" t="s">
        <v>3627</v>
      </c>
    </row>
    <row r="924" spans="35:37">
      <c r="AI924" s="468">
        <v>43296</v>
      </c>
      <c r="AJ924" s="5" t="s">
        <v>3621</v>
      </c>
      <c r="AK924" s="5" t="s">
        <v>3618</v>
      </c>
    </row>
    <row r="925" spans="35:37">
      <c r="AI925" s="468">
        <v>43297</v>
      </c>
      <c r="AJ925" s="5" t="s">
        <v>3579</v>
      </c>
      <c r="AK925" s="5" t="s">
        <v>3620</v>
      </c>
    </row>
    <row r="926" spans="35:37">
      <c r="AI926" s="468">
        <v>43298</v>
      </c>
      <c r="AJ926" s="5" t="s">
        <v>3624</v>
      </c>
      <c r="AK926" s="5" t="s">
        <v>3622</v>
      </c>
    </row>
    <row r="927" spans="35:37">
      <c r="AI927" s="468">
        <v>43299</v>
      </c>
      <c r="AJ927" s="5" t="s">
        <v>3626</v>
      </c>
      <c r="AK927" s="5" t="s">
        <v>3623</v>
      </c>
    </row>
    <row r="928" spans="35:37">
      <c r="AI928" s="468">
        <v>43300</v>
      </c>
      <c r="AJ928" s="5" t="s">
        <v>3628</v>
      </c>
      <c r="AK928" s="5" t="s">
        <v>3625</v>
      </c>
    </row>
    <row r="929" spans="35:37">
      <c r="AI929" s="468">
        <v>43301</v>
      </c>
      <c r="AJ929" s="5" t="s">
        <v>3617</v>
      </c>
      <c r="AK929" s="5" t="s">
        <v>3627</v>
      </c>
    </row>
    <row r="930" spans="35:37">
      <c r="AI930" s="468">
        <v>43302</v>
      </c>
      <c r="AJ930" s="5" t="s">
        <v>3619</v>
      </c>
      <c r="AK930" s="5" t="s">
        <v>3618</v>
      </c>
    </row>
    <row r="931" spans="35:37">
      <c r="AI931" s="468">
        <v>43303</v>
      </c>
      <c r="AJ931" s="5" t="s">
        <v>3621</v>
      </c>
      <c r="AK931" s="5" t="s">
        <v>3620</v>
      </c>
    </row>
    <row r="932" spans="35:37">
      <c r="AI932" s="468">
        <v>43304</v>
      </c>
      <c r="AJ932" s="5" t="s">
        <v>3579</v>
      </c>
      <c r="AK932" s="5" t="s">
        <v>3622</v>
      </c>
    </row>
    <row r="933" spans="35:37">
      <c r="AI933" s="468">
        <v>43305</v>
      </c>
      <c r="AJ933" s="5" t="s">
        <v>3624</v>
      </c>
      <c r="AK933" s="5" t="s">
        <v>3623</v>
      </c>
    </row>
    <row r="934" spans="35:37">
      <c r="AI934" s="468">
        <v>43306</v>
      </c>
      <c r="AJ934" s="5" t="s">
        <v>3626</v>
      </c>
      <c r="AK934" s="5" t="s">
        <v>3625</v>
      </c>
    </row>
    <row r="935" spans="35:37">
      <c r="AI935" s="468">
        <v>43307</v>
      </c>
      <c r="AJ935" s="5" t="s">
        <v>3628</v>
      </c>
      <c r="AK935" s="5" t="s">
        <v>3627</v>
      </c>
    </row>
    <row r="936" spans="35:37">
      <c r="AI936" s="468">
        <v>43308</v>
      </c>
      <c r="AJ936" s="5" t="s">
        <v>3617</v>
      </c>
      <c r="AK936" s="5" t="s">
        <v>3618</v>
      </c>
    </row>
    <row r="937" spans="35:37">
      <c r="AI937" s="468">
        <v>43309</v>
      </c>
      <c r="AJ937" s="5" t="s">
        <v>3619</v>
      </c>
      <c r="AK937" s="5" t="s">
        <v>3620</v>
      </c>
    </row>
    <row r="938" spans="35:37">
      <c r="AI938" s="468">
        <v>43310</v>
      </c>
      <c r="AJ938" s="5" t="s">
        <v>3621</v>
      </c>
      <c r="AK938" s="5" t="s">
        <v>3622</v>
      </c>
    </row>
    <row r="939" spans="35:37">
      <c r="AI939" s="468">
        <v>43311</v>
      </c>
      <c r="AJ939" s="5" t="s">
        <v>3579</v>
      </c>
      <c r="AK939" s="5" t="s">
        <v>3623</v>
      </c>
    </row>
    <row r="940" spans="35:37">
      <c r="AI940" s="468">
        <v>43312</v>
      </c>
      <c r="AJ940" s="5" t="s">
        <v>3624</v>
      </c>
      <c r="AK940" s="5" t="s">
        <v>3625</v>
      </c>
    </row>
    <row r="941" spans="35:37">
      <c r="AI941" s="468">
        <v>43313</v>
      </c>
      <c r="AJ941" s="5" t="s">
        <v>3626</v>
      </c>
      <c r="AK941" s="5" t="s">
        <v>3627</v>
      </c>
    </row>
    <row r="942" spans="35:37">
      <c r="AI942" s="468">
        <v>43314</v>
      </c>
      <c r="AJ942" s="5" t="s">
        <v>3628</v>
      </c>
      <c r="AK942" s="5" t="s">
        <v>3618</v>
      </c>
    </row>
    <row r="943" spans="35:37">
      <c r="AI943" s="468">
        <v>43315</v>
      </c>
      <c r="AJ943" s="5" t="s">
        <v>3617</v>
      </c>
      <c r="AK943" s="5" t="s">
        <v>3620</v>
      </c>
    </row>
    <row r="944" spans="35:37">
      <c r="AI944" s="468">
        <v>43316</v>
      </c>
      <c r="AJ944" s="5" t="s">
        <v>3619</v>
      </c>
      <c r="AK944" s="5" t="s">
        <v>3622</v>
      </c>
    </row>
    <row r="945" spans="35:37">
      <c r="AI945" s="468">
        <v>43317</v>
      </c>
      <c r="AJ945" s="5" t="s">
        <v>3621</v>
      </c>
      <c r="AK945" s="5" t="s">
        <v>3623</v>
      </c>
    </row>
    <row r="946" spans="35:37">
      <c r="AI946" s="468">
        <v>43318</v>
      </c>
      <c r="AJ946" s="5" t="s">
        <v>3579</v>
      </c>
      <c r="AK946" s="5" t="s">
        <v>3625</v>
      </c>
    </row>
    <row r="947" spans="35:37">
      <c r="AI947" s="468">
        <v>43319</v>
      </c>
      <c r="AJ947" s="5" t="s">
        <v>3624</v>
      </c>
      <c r="AK947" s="5" t="s">
        <v>3627</v>
      </c>
    </row>
    <row r="948" spans="35:37">
      <c r="AI948" s="468">
        <v>43320</v>
      </c>
      <c r="AJ948" s="5" t="s">
        <v>3626</v>
      </c>
      <c r="AK948" s="5" t="s">
        <v>3618</v>
      </c>
    </row>
    <row r="949" spans="35:37">
      <c r="AI949" s="468">
        <v>43321</v>
      </c>
      <c r="AJ949" s="5" t="s">
        <v>3628</v>
      </c>
      <c r="AK949" s="5" t="s">
        <v>3620</v>
      </c>
    </row>
    <row r="950" spans="35:37">
      <c r="AI950" s="468">
        <v>43322</v>
      </c>
      <c r="AJ950" s="5" t="s">
        <v>3617</v>
      </c>
      <c r="AK950" s="5" t="s">
        <v>3622</v>
      </c>
    </row>
    <row r="951" spans="35:37">
      <c r="AI951" s="468">
        <v>43323</v>
      </c>
      <c r="AJ951" s="5" t="s">
        <v>3619</v>
      </c>
      <c r="AK951" s="5" t="s">
        <v>3627</v>
      </c>
    </row>
    <row r="952" spans="35:37">
      <c r="AI952" s="468">
        <v>43324</v>
      </c>
      <c r="AJ952" s="5" t="s">
        <v>3621</v>
      </c>
      <c r="AK952" s="5" t="s">
        <v>3618</v>
      </c>
    </row>
    <row r="953" spans="35:37">
      <c r="AI953" s="468">
        <v>43325</v>
      </c>
      <c r="AJ953" s="5" t="s">
        <v>3579</v>
      </c>
      <c r="AK953" s="5" t="s">
        <v>3620</v>
      </c>
    </row>
    <row r="954" spans="35:37">
      <c r="AI954" s="468">
        <v>43326</v>
      </c>
      <c r="AJ954" s="5" t="s">
        <v>3624</v>
      </c>
      <c r="AK954" s="5" t="s">
        <v>3622</v>
      </c>
    </row>
    <row r="955" spans="35:37">
      <c r="AI955" s="468">
        <v>43327</v>
      </c>
      <c r="AJ955" s="5" t="s">
        <v>3626</v>
      </c>
      <c r="AK955" s="5" t="s">
        <v>3623</v>
      </c>
    </row>
    <row r="956" spans="35:37">
      <c r="AI956" s="468">
        <v>43328</v>
      </c>
      <c r="AJ956" s="5" t="s">
        <v>3628</v>
      </c>
      <c r="AK956" s="5" t="s">
        <v>3625</v>
      </c>
    </row>
    <row r="957" spans="35:37">
      <c r="AI957" s="468">
        <v>43329</v>
      </c>
      <c r="AJ957" s="5" t="s">
        <v>3617</v>
      </c>
      <c r="AK957" s="5" t="s">
        <v>3627</v>
      </c>
    </row>
    <row r="958" spans="35:37">
      <c r="AI958" s="468">
        <v>43330</v>
      </c>
      <c r="AJ958" s="5" t="s">
        <v>3619</v>
      </c>
      <c r="AK958" s="5" t="s">
        <v>3618</v>
      </c>
    </row>
    <row r="959" spans="35:37">
      <c r="AI959" s="468">
        <v>43331</v>
      </c>
      <c r="AJ959" s="5" t="s">
        <v>3621</v>
      </c>
      <c r="AK959" s="5" t="s">
        <v>3620</v>
      </c>
    </row>
    <row r="960" spans="35:37">
      <c r="AI960" s="468">
        <v>43332</v>
      </c>
      <c r="AJ960" s="5" t="s">
        <v>3579</v>
      </c>
      <c r="AK960" s="5" t="s">
        <v>3622</v>
      </c>
    </row>
    <row r="961" spans="35:37">
      <c r="AI961" s="468">
        <v>43333</v>
      </c>
      <c r="AJ961" s="5" t="s">
        <v>3624</v>
      </c>
      <c r="AK961" s="5" t="s">
        <v>3623</v>
      </c>
    </row>
    <row r="962" spans="35:37">
      <c r="AI962" s="468">
        <v>43334</v>
      </c>
      <c r="AJ962" s="5" t="s">
        <v>3626</v>
      </c>
      <c r="AK962" s="5" t="s">
        <v>3625</v>
      </c>
    </row>
    <row r="963" spans="35:37">
      <c r="AI963" s="468">
        <v>43335</v>
      </c>
      <c r="AJ963" s="5" t="s">
        <v>3628</v>
      </c>
      <c r="AK963" s="5" t="s">
        <v>3627</v>
      </c>
    </row>
    <row r="964" spans="35:37">
      <c r="AI964" s="468">
        <v>43336</v>
      </c>
      <c r="AJ964" s="5" t="s">
        <v>3617</v>
      </c>
      <c r="AK964" s="5" t="s">
        <v>3618</v>
      </c>
    </row>
    <row r="965" spans="35:37">
      <c r="AI965" s="468">
        <v>43337</v>
      </c>
      <c r="AJ965" s="5" t="s">
        <v>3619</v>
      </c>
      <c r="AK965" s="5" t="s">
        <v>3620</v>
      </c>
    </row>
    <row r="966" spans="35:37">
      <c r="AI966" s="468">
        <v>43338</v>
      </c>
      <c r="AJ966" s="5" t="s">
        <v>3621</v>
      </c>
      <c r="AK966" s="5" t="s">
        <v>3622</v>
      </c>
    </row>
    <row r="967" spans="35:37">
      <c r="AI967" s="468">
        <v>43339</v>
      </c>
      <c r="AJ967" s="5" t="s">
        <v>3579</v>
      </c>
      <c r="AK967" s="5" t="s">
        <v>3623</v>
      </c>
    </row>
    <row r="968" spans="35:37">
      <c r="AI968" s="468">
        <v>43340</v>
      </c>
      <c r="AJ968" s="5" t="s">
        <v>3624</v>
      </c>
      <c r="AK968" s="5" t="s">
        <v>3625</v>
      </c>
    </row>
    <row r="969" spans="35:37">
      <c r="AI969" s="468">
        <v>43341</v>
      </c>
      <c r="AJ969" s="5" t="s">
        <v>3626</v>
      </c>
      <c r="AK969" s="5" t="s">
        <v>3627</v>
      </c>
    </row>
    <row r="970" spans="35:37">
      <c r="AI970" s="468">
        <v>43342</v>
      </c>
      <c r="AJ970" s="5" t="s">
        <v>3628</v>
      </c>
      <c r="AK970" s="5" t="s">
        <v>3618</v>
      </c>
    </row>
    <row r="971" spans="35:37">
      <c r="AI971" s="468">
        <v>43343</v>
      </c>
      <c r="AJ971" s="5" t="s">
        <v>3617</v>
      </c>
      <c r="AK971" s="5" t="s">
        <v>3620</v>
      </c>
    </row>
    <row r="972" spans="35:37">
      <c r="AI972" s="468">
        <v>43344</v>
      </c>
      <c r="AJ972" s="5" t="s">
        <v>3619</v>
      </c>
      <c r="AK972" s="5" t="s">
        <v>3622</v>
      </c>
    </row>
    <row r="973" spans="35:37">
      <c r="AI973" s="468">
        <v>43345</v>
      </c>
      <c r="AJ973" s="5" t="s">
        <v>3621</v>
      </c>
      <c r="AK973" s="5" t="s">
        <v>3623</v>
      </c>
    </row>
    <row r="974" spans="35:37">
      <c r="AI974" s="468">
        <v>43346</v>
      </c>
      <c r="AJ974" s="5" t="s">
        <v>3579</v>
      </c>
      <c r="AK974" s="5" t="s">
        <v>3625</v>
      </c>
    </row>
    <row r="975" spans="35:37">
      <c r="AI975" s="468">
        <v>43347</v>
      </c>
      <c r="AJ975" s="5" t="s">
        <v>3624</v>
      </c>
      <c r="AK975" s="5" t="s">
        <v>3627</v>
      </c>
    </row>
    <row r="976" spans="35:37">
      <c r="AI976" s="468">
        <v>43348</v>
      </c>
      <c r="AJ976" s="5" t="s">
        <v>3626</v>
      </c>
      <c r="AK976" s="5" t="s">
        <v>3618</v>
      </c>
    </row>
    <row r="977" spans="35:37">
      <c r="AI977" s="468">
        <v>43349</v>
      </c>
      <c r="AJ977" s="5" t="s">
        <v>3628</v>
      </c>
      <c r="AK977" s="5" t="s">
        <v>3620</v>
      </c>
    </row>
    <row r="978" spans="35:37">
      <c r="AI978" s="468">
        <v>43350</v>
      </c>
      <c r="AJ978" s="5" t="s">
        <v>3617</v>
      </c>
      <c r="AK978" s="5" t="s">
        <v>3622</v>
      </c>
    </row>
    <row r="979" spans="35:37">
      <c r="AI979" s="468">
        <v>43351</v>
      </c>
      <c r="AJ979" s="5" t="s">
        <v>3619</v>
      </c>
      <c r="AK979" s="5" t="s">
        <v>3623</v>
      </c>
    </row>
    <row r="980" spans="35:37">
      <c r="AI980" s="468">
        <v>43352</v>
      </c>
      <c r="AJ980" s="5" t="s">
        <v>3621</v>
      </c>
      <c r="AK980" s="5" t="s">
        <v>3625</v>
      </c>
    </row>
    <row r="981" spans="35:37">
      <c r="AI981" s="468">
        <v>43353</v>
      </c>
      <c r="AJ981" s="5" t="s">
        <v>3579</v>
      </c>
      <c r="AK981" s="5" t="s">
        <v>3618</v>
      </c>
    </row>
    <row r="982" spans="35:37">
      <c r="AI982" s="468">
        <v>43354</v>
      </c>
      <c r="AJ982" s="5" t="s">
        <v>3624</v>
      </c>
      <c r="AK982" s="5" t="s">
        <v>3620</v>
      </c>
    </row>
    <row r="983" spans="35:37">
      <c r="AI983" s="468">
        <v>43355</v>
      </c>
      <c r="AJ983" s="5" t="s">
        <v>3626</v>
      </c>
      <c r="AK983" s="5" t="s">
        <v>3622</v>
      </c>
    </row>
    <row r="984" spans="35:37">
      <c r="AI984" s="468">
        <v>43356</v>
      </c>
      <c r="AJ984" s="5" t="s">
        <v>3628</v>
      </c>
      <c r="AK984" s="5" t="s">
        <v>3623</v>
      </c>
    </row>
    <row r="985" spans="35:37">
      <c r="AI985" s="468">
        <v>43357</v>
      </c>
      <c r="AJ985" s="5" t="s">
        <v>3617</v>
      </c>
      <c r="AK985" s="5" t="s">
        <v>3625</v>
      </c>
    </row>
    <row r="986" spans="35:37">
      <c r="AI986" s="468">
        <v>43358</v>
      </c>
      <c r="AJ986" s="5" t="s">
        <v>3619</v>
      </c>
      <c r="AK986" s="5" t="s">
        <v>3627</v>
      </c>
    </row>
    <row r="987" spans="35:37">
      <c r="AI987" s="468">
        <v>43359</v>
      </c>
      <c r="AJ987" s="5" t="s">
        <v>3621</v>
      </c>
      <c r="AK987" s="5" t="s">
        <v>3618</v>
      </c>
    </row>
    <row r="988" spans="35:37">
      <c r="AI988" s="468">
        <v>43360</v>
      </c>
      <c r="AJ988" s="5" t="s">
        <v>3579</v>
      </c>
      <c r="AK988" s="5" t="s">
        <v>3620</v>
      </c>
    </row>
    <row r="989" spans="35:37">
      <c r="AI989" s="468">
        <v>43361</v>
      </c>
      <c r="AJ989" s="5" t="s">
        <v>3624</v>
      </c>
      <c r="AK989" s="5" t="s">
        <v>3622</v>
      </c>
    </row>
    <row r="990" spans="35:37">
      <c r="AI990" s="468">
        <v>43362</v>
      </c>
      <c r="AJ990" s="5" t="s">
        <v>3626</v>
      </c>
      <c r="AK990" s="5" t="s">
        <v>3623</v>
      </c>
    </row>
    <row r="991" spans="35:37">
      <c r="AI991" s="468">
        <v>43363</v>
      </c>
      <c r="AJ991" s="5" t="s">
        <v>3628</v>
      </c>
      <c r="AK991" s="5" t="s">
        <v>3625</v>
      </c>
    </row>
    <row r="992" spans="35:37">
      <c r="AI992" s="468">
        <v>43364</v>
      </c>
      <c r="AJ992" s="5" t="s">
        <v>3617</v>
      </c>
      <c r="AK992" s="5" t="s">
        <v>3627</v>
      </c>
    </row>
    <row r="993" spans="35:37">
      <c r="AI993" s="468">
        <v>43365</v>
      </c>
      <c r="AJ993" s="5" t="s">
        <v>3619</v>
      </c>
      <c r="AK993" s="5" t="s">
        <v>3618</v>
      </c>
    </row>
    <row r="994" spans="35:37">
      <c r="AI994" s="468">
        <v>43366</v>
      </c>
      <c r="AJ994" s="5" t="s">
        <v>3621</v>
      </c>
      <c r="AK994" s="5" t="s">
        <v>3620</v>
      </c>
    </row>
    <row r="995" spans="35:37">
      <c r="AI995" s="468">
        <v>43367</v>
      </c>
      <c r="AJ995" s="5" t="s">
        <v>3579</v>
      </c>
      <c r="AK995" s="5" t="s">
        <v>3622</v>
      </c>
    </row>
    <row r="996" spans="35:37">
      <c r="AI996" s="468">
        <v>43368</v>
      </c>
      <c r="AJ996" s="5" t="s">
        <v>3624</v>
      </c>
      <c r="AK996" s="5" t="s">
        <v>3623</v>
      </c>
    </row>
    <row r="997" spans="35:37">
      <c r="AI997" s="468">
        <v>43369</v>
      </c>
      <c r="AJ997" s="5" t="s">
        <v>3626</v>
      </c>
      <c r="AK997" s="5" t="s">
        <v>3625</v>
      </c>
    </row>
    <row r="998" spans="35:37">
      <c r="AI998" s="468">
        <v>43370</v>
      </c>
      <c r="AJ998" s="5" t="s">
        <v>3628</v>
      </c>
      <c r="AK998" s="5" t="s">
        <v>3627</v>
      </c>
    </row>
    <row r="999" spans="35:37">
      <c r="AI999" s="468">
        <v>43371</v>
      </c>
      <c r="AJ999" s="5" t="s">
        <v>3617</v>
      </c>
      <c r="AK999" s="5" t="s">
        <v>3618</v>
      </c>
    </row>
    <row r="1000" spans="35:37">
      <c r="AI1000" s="468">
        <v>43372</v>
      </c>
      <c r="AJ1000" s="5" t="s">
        <v>3619</v>
      </c>
      <c r="AK1000" s="5" t="s">
        <v>3620</v>
      </c>
    </row>
    <row r="1001" spans="35:37">
      <c r="AI1001" s="468">
        <v>43373</v>
      </c>
      <c r="AJ1001" s="5" t="s">
        <v>3621</v>
      </c>
      <c r="AK1001" s="5" t="s">
        <v>3622</v>
      </c>
    </row>
    <row r="1002" spans="35:37">
      <c r="AI1002" s="468">
        <v>43374</v>
      </c>
      <c r="AJ1002" s="5" t="s">
        <v>3579</v>
      </c>
      <c r="AK1002" s="5" t="s">
        <v>3623</v>
      </c>
    </row>
    <row r="1003" spans="35:37">
      <c r="AI1003" s="468">
        <v>43375</v>
      </c>
      <c r="AJ1003" s="5" t="s">
        <v>3624</v>
      </c>
      <c r="AK1003" s="5" t="s">
        <v>3625</v>
      </c>
    </row>
    <row r="1004" spans="35:37">
      <c r="AI1004" s="468">
        <v>43376</v>
      </c>
      <c r="AJ1004" s="5" t="s">
        <v>3626</v>
      </c>
      <c r="AK1004" s="5" t="s">
        <v>3627</v>
      </c>
    </row>
    <row r="1005" spans="35:37">
      <c r="AI1005" s="468">
        <v>43377</v>
      </c>
      <c r="AJ1005" s="5" t="s">
        <v>3628</v>
      </c>
      <c r="AK1005" s="5" t="s">
        <v>3618</v>
      </c>
    </row>
    <row r="1006" spans="35:37">
      <c r="AI1006" s="468">
        <v>43378</v>
      </c>
      <c r="AJ1006" s="5" t="s">
        <v>3617</v>
      </c>
      <c r="AK1006" s="5" t="s">
        <v>3620</v>
      </c>
    </row>
    <row r="1007" spans="35:37">
      <c r="AI1007" s="468">
        <v>43379</v>
      </c>
      <c r="AJ1007" s="5" t="s">
        <v>3619</v>
      </c>
      <c r="AK1007" s="5" t="s">
        <v>3622</v>
      </c>
    </row>
    <row r="1008" spans="35:37">
      <c r="AI1008" s="468">
        <v>43380</v>
      </c>
      <c r="AJ1008" s="5" t="s">
        <v>3621</v>
      </c>
      <c r="AK1008" s="5" t="s">
        <v>3623</v>
      </c>
    </row>
    <row r="1009" spans="35:37">
      <c r="AI1009" s="468">
        <v>43381</v>
      </c>
      <c r="AJ1009" s="5" t="s">
        <v>3579</v>
      </c>
      <c r="AK1009" s="5" t="s">
        <v>3625</v>
      </c>
    </row>
    <row r="1010" spans="35:37">
      <c r="AI1010" s="468">
        <v>43382</v>
      </c>
      <c r="AJ1010" s="5" t="s">
        <v>3624</v>
      </c>
      <c r="AK1010" s="5" t="s">
        <v>3620</v>
      </c>
    </row>
    <row r="1011" spans="35:37">
      <c r="AI1011" s="468">
        <v>43383</v>
      </c>
      <c r="AJ1011" s="5" t="s">
        <v>3626</v>
      </c>
      <c r="AK1011" s="5" t="s">
        <v>3622</v>
      </c>
    </row>
    <row r="1012" spans="35:37">
      <c r="AI1012" s="468">
        <v>43384</v>
      </c>
      <c r="AJ1012" s="5" t="s">
        <v>3628</v>
      </c>
      <c r="AK1012" s="5" t="s">
        <v>3623</v>
      </c>
    </row>
    <row r="1013" spans="35:37">
      <c r="AI1013" s="468">
        <v>43385</v>
      </c>
      <c r="AJ1013" s="5" t="s">
        <v>3617</v>
      </c>
      <c r="AK1013" s="5" t="s">
        <v>3625</v>
      </c>
    </row>
    <row r="1014" spans="35:37">
      <c r="AI1014" s="468">
        <v>43386</v>
      </c>
      <c r="AJ1014" s="5" t="s">
        <v>3619</v>
      </c>
      <c r="AK1014" s="5" t="s">
        <v>3627</v>
      </c>
    </row>
    <row r="1015" spans="35:37">
      <c r="AI1015" s="468">
        <v>43387</v>
      </c>
      <c r="AJ1015" s="5" t="s">
        <v>3621</v>
      </c>
      <c r="AK1015" s="5" t="s">
        <v>3618</v>
      </c>
    </row>
    <row r="1016" spans="35:37">
      <c r="AI1016" s="468">
        <v>43388</v>
      </c>
      <c r="AJ1016" s="5" t="s">
        <v>3579</v>
      </c>
      <c r="AK1016" s="5" t="s">
        <v>3620</v>
      </c>
    </row>
    <row r="1017" spans="35:37">
      <c r="AI1017" s="468">
        <v>43389</v>
      </c>
      <c r="AJ1017" s="5" t="s">
        <v>3624</v>
      </c>
      <c r="AK1017" s="5" t="s">
        <v>3622</v>
      </c>
    </row>
    <row r="1018" spans="35:37">
      <c r="AI1018" s="468">
        <v>43390</v>
      </c>
      <c r="AJ1018" s="5" t="s">
        <v>3626</v>
      </c>
      <c r="AK1018" s="5" t="s">
        <v>3623</v>
      </c>
    </row>
    <row r="1019" spans="35:37">
      <c r="AI1019" s="468">
        <v>43391</v>
      </c>
      <c r="AJ1019" s="5" t="s">
        <v>3628</v>
      </c>
      <c r="AK1019" s="5" t="s">
        <v>3625</v>
      </c>
    </row>
    <row r="1020" spans="35:37">
      <c r="AI1020" s="468">
        <v>43392</v>
      </c>
      <c r="AJ1020" s="5" t="s">
        <v>3617</v>
      </c>
      <c r="AK1020" s="5" t="s">
        <v>3627</v>
      </c>
    </row>
    <row r="1021" spans="35:37">
      <c r="AI1021" s="468">
        <v>43393</v>
      </c>
      <c r="AJ1021" s="5" t="s">
        <v>3619</v>
      </c>
      <c r="AK1021" s="5" t="s">
        <v>3618</v>
      </c>
    </row>
    <row r="1022" spans="35:37">
      <c r="AI1022" s="468">
        <v>43394</v>
      </c>
      <c r="AJ1022" s="5" t="s">
        <v>3621</v>
      </c>
      <c r="AK1022" s="5" t="s">
        <v>3620</v>
      </c>
    </row>
    <row r="1023" spans="35:37">
      <c r="AI1023" s="468">
        <v>43395</v>
      </c>
      <c r="AJ1023" s="5" t="s">
        <v>3579</v>
      </c>
      <c r="AK1023" s="5" t="s">
        <v>3622</v>
      </c>
    </row>
    <row r="1024" spans="35:37">
      <c r="AI1024" s="468">
        <v>43396</v>
      </c>
      <c r="AJ1024" s="5" t="s">
        <v>3624</v>
      </c>
      <c r="AK1024" s="5" t="s">
        <v>3623</v>
      </c>
    </row>
    <row r="1025" spans="35:37">
      <c r="AI1025" s="468">
        <v>43397</v>
      </c>
      <c r="AJ1025" s="5" t="s">
        <v>3626</v>
      </c>
      <c r="AK1025" s="5" t="s">
        <v>3625</v>
      </c>
    </row>
    <row r="1026" spans="35:37">
      <c r="AI1026" s="468">
        <v>43398</v>
      </c>
      <c r="AJ1026" s="5" t="s">
        <v>3628</v>
      </c>
      <c r="AK1026" s="5" t="s">
        <v>3627</v>
      </c>
    </row>
    <row r="1027" spans="35:37">
      <c r="AI1027" s="468">
        <v>43399</v>
      </c>
      <c r="AJ1027" s="5" t="s">
        <v>3617</v>
      </c>
      <c r="AK1027" s="5" t="s">
        <v>3618</v>
      </c>
    </row>
    <row r="1028" spans="35:37">
      <c r="AI1028" s="468">
        <v>43400</v>
      </c>
      <c r="AJ1028" s="5" t="s">
        <v>3619</v>
      </c>
      <c r="AK1028" s="5" t="s">
        <v>3620</v>
      </c>
    </row>
    <row r="1029" spans="35:37">
      <c r="AI1029" s="468">
        <v>43401</v>
      </c>
      <c r="AJ1029" s="5" t="s">
        <v>3621</v>
      </c>
      <c r="AK1029" s="5" t="s">
        <v>3622</v>
      </c>
    </row>
    <row r="1030" spans="35:37">
      <c r="AI1030" s="468">
        <v>43402</v>
      </c>
      <c r="AJ1030" s="5" t="s">
        <v>3579</v>
      </c>
      <c r="AK1030" s="5" t="s">
        <v>3623</v>
      </c>
    </row>
    <row r="1031" spans="35:37">
      <c r="AI1031" s="468">
        <v>43403</v>
      </c>
      <c r="AJ1031" s="5" t="s">
        <v>3624</v>
      </c>
      <c r="AK1031" s="5" t="s">
        <v>3625</v>
      </c>
    </row>
    <row r="1032" spans="35:37">
      <c r="AI1032" s="468">
        <v>43404</v>
      </c>
      <c r="AJ1032" s="5" t="s">
        <v>3626</v>
      </c>
      <c r="AK1032" s="5" t="s">
        <v>3627</v>
      </c>
    </row>
    <row r="1033" spans="35:37">
      <c r="AI1033" s="468">
        <v>43405</v>
      </c>
      <c r="AJ1033" s="5" t="s">
        <v>3628</v>
      </c>
      <c r="AK1033" s="5" t="s">
        <v>3618</v>
      </c>
    </row>
    <row r="1034" spans="35:37">
      <c r="AI1034" s="468">
        <v>43406</v>
      </c>
      <c r="AJ1034" s="5" t="s">
        <v>3617</v>
      </c>
      <c r="AK1034" s="5" t="s">
        <v>3620</v>
      </c>
    </row>
    <row r="1035" spans="35:37">
      <c r="AI1035" s="468">
        <v>43407</v>
      </c>
      <c r="AJ1035" s="5" t="s">
        <v>3619</v>
      </c>
      <c r="AK1035" s="5" t="s">
        <v>3622</v>
      </c>
    </row>
    <row r="1036" spans="35:37">
      <c r="AI1036" s="468">
        <v>43408</v>
      </c>
      <c r="AJ1036" s="5" t="s">
        <v>3621</v>
      </c>
      <c r="AK1036" s="5" t="s">
        <v>3623</v>
      </c>
    </row>
    <row r="1037" spans="35:37">
      <c r="AI1037" s="468">
        <v>43409</v>
      </c>
      <c r="AJ1037" s="5" t="s">
        <v>3579</v>
      </c>
      <c r="AK1037" s="5" t="s">
        <v>3625</v>
      </c>
    </row>
    <row r="1038" spans="35:37">
      <c r="AI1038" s="468">
        <v>43410</v>
      </c>
      <c r="AJ1038" s="5" t="s">
        <v>3624</v>
      </c>
      <c r="AK1038" s="5" t="s">
        <v>3627</v>
      </c>
    </row>
    <row r="1039" spans="35:37">
      <c r="AI1039" s="468">
        <v>43411</v>
      </c>
      <c r="AJ1039" s="5" t="s">
        <v>3626</v>
      </c>
      <c r="AK1039" s="5" t="s">
        <v>3618</v>
      </c>
    </row>
    <row r="1040" spans="35:37">
      <c r="AI1040" s="468">
        <v>43412</v>
      </c>
      <c r="AJ1040" s="5" t="s">
        <v>3628</v>
      </c>
      <c r="AK1040" s="5" t="s">
        <v>3622</v>
      </c>
    </row>
    <row r="1041" spans="35:37">
      <c r="AI1041" s="468">
        <v>43413</v>
      </c>
      <c r="AJ1041" s="5" t="s">
        <v>3617</v>
      </c>
      <c r="AK1041" s="5" t="s">
        <v>3623</v>
      </c>
    </row>
    <row r="1042" spans="35:37">
      <c r="AI1042" s="468">
        <v>43414</v>
      </c>
      <c r="AJ1042" s="5" t="s">
        <v>3619</v>
      </c>
      <c r="AK1042" s="5" t="s">
        <v>3625</v>
      </c>
    </row>
    <row r="1043" spans="35:37">
      <c r="AI1043" s="468">
        <v>43415</v>
      </c>
      <c r="AJ1043" s="5" t="s">
        <v>3621</v>
      </c>
      <c r="AK1043" s="5" t="s">
        <v>3627</v>
      </c>
    </row>
    <row r="1044" spans="35:37">
      <c r="AI1044" s="468">
        <v>43416</v>
      </c>
      <c r="AJ1044" s="5" t="s">
        <v>3579</v>
      </c>
      <c r="AK1044" s="5" t="s">
        <v>3618</v>
      </c>
    </row>
    <row r="1045" spans="35:37">
      <c r="AI1045" s="468">
        <v>43417</v>
      </c>
      <c r="AJ1045" s="5" t="s">
        <v>3624</v>
      </c>
      <c r="AK1045" s="5" t="s">
        <v>3620</v>
      </c>
    </row>
    <row r="1046" spans="35:37">
      <c r="AI1046" s="468">
        <v>43418</v>
      </c>
      <c r="AJ1046" s="5" t="s">
        <v>3626</v>
      </c>
      <c r="AK1046" s="5" t="s">
        <v>3622</v>
      </c>
    </row>
    <row r="1047" spans="35:37">
      <c r="AI1047" s="468">
        <v>43419</v>
      </c>
      <c r="AJ1047" s="5" t="s">
        <v>3628</v>
      </c>
      <c r="AK1047" s="5" t="s">
        <v>3623</v>
      </c>
    </row>
    <row r="1048" spans="35:37">
      <c r="AI1048" s="468">
        <v>43420</v>
      </c>
      <c r="AJ1048" s="5" t="s">
        <v>3617</v>
      </c>
      <c r="AK1048" s="5" t="s">
        <v>3625</v>
      </c>
    </row>
    <row r="1049" spans="35:37">
      <c r="AI1049" s="468">
        <v>43421</v>
      </c>
      <c r="AJ1049" s="5" t="s">
        <v>3619</v>
      </c>
      <c r="AK1049" s="5" t="s">
        <v>3627</v>
      </c>
    </row>
    <row r="1050" spans="35:37">
      <c r="AI1050" s="468">
        <v>43422</v>
      </c>
      <c r="AJ1050" s="5" t="s">
        <v>3621</v>
      </c>
      <c r="AK1050" s="5" t="s">
        <v>3618</v>
      </c>
    </row>
    <row r="1051" spans="35:37">
      <c r="AI1051" s="468">
        <v>43423</v>
      </c>
      <c r="AJ1051" s="5" t="s">
        <v>3579</v>
      </c>
      <c r="AK1051" s="5" t="s">
        <v>3620</v>
      </c>
    </row>
    <row r="1052" spans="35:37">
      <c r="AI1052" s="468">
        <v>43424</v>
      </c>
      <c r="AJ1052" s="5" t="s">
        <v>3624</v>
      </c>
      <c r="AK1052" s="5" t="s">
        <v>3622</v>
      </c>
    </row>
    <row r="1053" spans="35:37">
      <c r="AI1053" s="468">
        <v>43425</v>
      </c>
      <c r="AJ1053" s="5" t="s">
        <v>3626</v>
      </c>
      <c r="AK1053" s="5" t="s">
        <v>3623</v>
      </c>
    </row>
    <row r="1054" spans="35:37">
      <c r="AI1054" s="468">
        <v>43426</v>
      </c>
      <c r="AJ1054" s="5" t="s">
        <v>3628</v>
      </c>
      <c r="AK1054" s="5" t="s">
        <v>3625</v>
      </c>
    </row>
    <row r="1055" spans="35:37">
      <c r="AI1055" s="468">
        <v>43427</v>
      </c>
      <c r="AJ1055" s="5" t="s">
        <v>3617</v>
      </c>
      <c r="AK1055" s="5" t="s">
        <v>3627</v>
      </c>
    </row>
    <row r="1056" spans="35:37">
      <c r="AI1056" s="468">
        <v>43428</v>
      </c>
      <c r="AJ1056" s="5" t="s">
        <v>3619</v>
      </c>
      <c r="AK1056" s="5" t="s">
        <v>3618</v>
      </c>
    </row>
    <row r="1057" spans="35:37">
      <c r="AI1057" s="468">
        <v>43429</v>
      </c>
      <c r="AJ1057" s="5" t="s">
        <v>3621</v>
      </c>
      <c r="AK1057" s="5" t="s">
        <v>3620</v>
      </c>
    </row>
    <row r="1058" spans="35:37">
      <c r="AI1058" s="468">
        <v>43430</v>
      </c>
      <c r="AJ1058" s="5" t="s">
        <v>3579</v>
      </c>
      <c r="AK1058" s="5" t="s">
        <v>3622</v>
      </c>
    </row>
    <row r="1059" spans="35:37">
      <c r="AI1059" s="468">
        <v>43431</v>
      </c>
      <c r="AJ1059" s="5" t="s">
        <v>3624</v>
      </c>
      <c r="AK1059" s="5" t="s">
        <v>3623</v>
      </c>
    </row>
    <row r="1060" spans="35:37">
      <c r="AI1060" s="468">
        <v>43432</v>
      </c>
      <c r="AJ1060" s="5" t="s">
        <v>3626</v>
      </c>
      <c r="AK1060" s="5" t="s">
        <v>3625</v>
      </c>
    </row>
    <row r="1061" spans="35:37">
      <c r="AI1061" s="468">
        <v>43433</v>
      </c>
      <c r="AJ1061" s="5" t="s">
        <v>3628</v>
      </c>
      <c r="AK1061" s="5" t="s">
        <v>3627</v>
      </c>
    </row>
    <row r="1062" spans="35:37">
      <c r="AI1062" s="468">
        <v>43434</v>
      </c>
      <c r="AJ1062" s="5" t="s">
        <v>3617</v>
      </c>
      <c r="AK1062" s="5" t="s">
        <v>3618</v>
      </c>
    </row>
    <row r="1063" spans="35:37">
      <c r="AI1063" s="468">
        <v>43435</v>
      </c>
      <c r="AJ1063" s="5" t="s">
        <v>3619</v>
      </c>
      <c r="AK1063" s="5" t="s">
        <v>3620</v>
      </c>
    </row>
    <row r="1064" spans="35:37">
      <c r="AI1064" s="468">
        <v>43436</v>
      </c>
      <c r="AJ1064" s="5" t="s">
        <v>3621</v>
      </c>
      <c r="AK1064" s="5" t="s">
        <v>3622</v>
      </c>
    </row>
    <row r="1065" spans="35:37">
      <c r="AI1065" s="468">
        <v>43437</v>
      </c>
      <c r="AJ1065" s="5" t="s">
        <v>3579</v>
      </c>
      <c r="AK1065" s="5" t="s">
        <v>3623</v>
      </c>
    </row>
    <row r="1066" spans="35:37">
      <c r="AI1066" s="468">
        <v>43438</v>
      </c>
      <c r="AJ1066" s="5" t="s">
        <v>3624</v>
      </c>
      <c r="AK1066" s="5" t="s">
        <v>3625</v>
      </c>
    </row>
    <row r="1067" spans="35:37">
      <c r="AI1067" s="468">
        <v>43439</v>
      </c>
      <c r="AJ1067" s="5" t="s">
        <v>3626</v>
      </c>
      <c r="AK1067" s="5" t="s">
        <v>3627</v>
      </c>
    </row>
    <row r="1068" spans="35:37">
      <c r="AI1068" s="468">
        <v>43440</v>
      </c>
      <c r="AJ1068" s="5" t="s">
        <v>3628</v>
      </c>
      <c r="AK1068" s="5" t="s">
        <v>3618</v>
      </c>
    </row>
    <row r="1069" spans="35:37">
      <c r="AI1069" s="468">
        <v>43441</v>
      </c>
      <c r="AJ1069" s="5" t="s">
        <v>3617</v>
      </c>
      <c r="AK1069" s="5" t="s">
        <v>3623</v>
      </c>
    </row>
    <row r="1070" spans="35:37">
      <c r="AI1070" s="468">
        <v>43442</v>
      </c>
      <c r="AJ1070" s="5" t="s">
        <v>3619</v>
      </c>
      <c r="AK1070" s="5" t="s">
        <v>3625</v>
      </c>
    </row>
    <row r="1071" spans="35:37">
      <c r="AI1071" s="468">
        <v>43443</v>
      </c>
      <c r="AJ1071" s="5" t="s">
        <v>3621</v>
      </c>
      <c r="AK1071" s="5" t="s">
        <v>3627</v>
      </c>
    </row>
    <row r="1072" spans="35:37">
      <c r="AI1072" s="468">
        <v>43444</v>
      </c>
      <c r="AJ1072" s="5" t="s">
        <v>3579</v>
      </c>
      <c r="AK1072" s="5" t="s">
        <v>3618</v>
      </c>
    </row>
    <row r="1073" spans="35:37">
      <c r="AI1073" s="468">
        <v>43445</v>
      </c>
      <c r="AJ1073" s="5" t="s">
        <v>3624</v>
      </c>
      <c r="AK1073" s="5" t="s">
        <v>3620</v>
      </c>
    </row>
    <row r="1074" spans="35:37">
      <c r="AI1074" s="468">
        <v>43446</v>
      </c>
      <c r="AJ1074" s="5" t="s">
        <v>3626</v>
      </c>
      <c r="AK1074" s="5" t="s">
        <v>3622</v>
      </c>
    </row>
    <row r="1075" spans="35:37">
      <c r="AI1075" s="468">
        <v>43447</v>
      </c>
      <c r="AJ1075" s="5" t="s">
        <v>3628</v>
      </c>
      <c r="AK1075" s="5" t="s">
        <v>3623</v>
      </c>
    </row>
    <row r="1076" spans="35:37">
      <c r="AI1076" s="468">
        <v>43448</v>
      </c>
      <c r="AJ1076" s="5" t="s">
        <v>3617</v>
      </c>
      <c r="AK1076" s="5" t="s">
        <v>3625</v>
      </c>
    </row>
    <row r="1077" spans="35:37">
      <c r="AI1077" s="468">
        <v>43449</v>
      </c>
      <c r="AJ1077" s="5" t="s">
        <v>3619</v>
      </c>
      <c r="AK1077" s="5" t="s">
        <v>3627</v>
      </c>
    </row>
    <row r="1078" spans="35:37">
      <c r="AI1078" s="468">
        <v>43450</v>
      </c>
      <c r="AJ1078" s="5" t="s">
        <v>3621</v>
      </c>
      <c r="AK1078" s="5" t="s">
        <v>3618</v>
      </c>
    </row>
    <row r="1079" spans="35:37">
      <c r="AI1079" s="468">
        <v>43451</v>
      </c>
      <c r="AJ1079" s="5" t="s">
        <v>3579</v>
      </c>
      <c r="AK1079" s="5" t="s">
        <v>3620</v>
      </c>
    </row>
    <row r="1080" spans="35:37">
      <c r="AI1080" s="468">
        <v>43452</v>
      </c>
      <c r="AJ1080" s="5" t="s">
        <v>3624</v>
      </c>
      <c r="AK1080" s="5" t="s">
        <v>3622</v>
      </c>
    </row>
    <row r="1081" spans="35:37">
      <c r="AI1081" s="468">
        <v>43453</v>
      </c>
      <c r="AJ1081" s="5" t="s">
        <v>3626</v>
      </c>
      <c r="AK1081" s="5" t="s">
        <v>3623</v>
      </c>
    </row>
    <row r="1082" spans="35:37">
      <c r="AI1082" s="468">
        <v>43454</v>
      </c>
      <c r="AJ1082" s="5" t="s">
        <v>3628</v>
      </c>
      <c r="AK1082" s="5" t="s">
        <v>3625</v>
      </c>
    </row>
    <row r="1083" spans="35:37">
      <c r="AI1083" s="468">
        <v>43455</v>
      </c>
      <c r="AJ1083" s="5" t="s">
        <v>3617</v>
      </c>
      <c r="AK1083" s="5" t="s">
        <v>3627</v>
      </c>
    </row>
    <row r="1084" spans="35:37">
      <c r="AI1084" s="468">
        <v>43456</v>
      </c>
      <c r="AJ1084" s="5" t="s">
        <v>3619</v>
      </c>
      <c r="AK1084" s="5" t="s">
        <v>3618</v>
      </c>
    </row>
    <row r="1085" spans="35:37">
      <c r="AI1085" s="468">
        <v>43457</v>
      </c>
      <c r="AJ1085" s="5" t="s">
        <v>3621</v>
      </c>
      <c r="AK1085" s="5" t="s">
        <v>3620</v>
      </c>
    </row>
    <row r="1086" spans="35:37">
      <c r="AI1086" s="468">
        <v>43458</v>
      </c>
      <c r="AJ1086" s="5" t="s">
        <v>3579</v>
      </c>
      <c r="AK1086" s="5" t="s">
        <v>3622</v>
      </c>
    </row>
    <row r="1087" spans="35:37">
      <c r="AI1087" s="468">
        <v>43459</v>
      </c>
      <c r="AJ1087" s="5" t="s">
        <v>3624</v>
      </c>
      <c r="AK1087" s="5" t="s">
        <v>3623</v>
      </c>
    </row>
    <row r="1088" spans="35:37">
      <c r="AI1088" s="468">
        <v>43460</v>
      </c>
      <c r="AJ1088" s="5" t="s">
        <v>3626</v>
      </c>
      <c r="AK1088" s="5" t="s">
        <v>3625</v>
      </c>
    </row>
    <row r="1089" spans="35:37">
      <c r="AI1089" s="468">
        <v>43461</v>
      </c>
      <c r="AJ1089" s="5" t="s">
        <v>3628</v>
      </c>
      <c r="AK1089" s="5" t="s">
        <v>3627</v>
      </c>
    </row>
    <row r="1090" spans="35:37">
      <c r="AI1090" s="468">
        <v>43462</v>
      </c>
      <c r="AJ1090" s="5" t="s">
        <v>3617</v>
      </c>
      <c r="AK1090" s="5" t="s">
        <v>3618</v>
      </c>
    </row>
    <row r="1091" spans="35:37">
      <c r="AI1091" s="468">
        <v>43463</v>
      </c>
      <c r="AJ1091" s="5" t="s">
        <v>3619</v>
      </c>
      <c r="AK1091" s="5" t="s">
        <v>3620</v>
      </c>
    </row>
    <row r="1092" spans="35:37">
      <c r="AI1092" s="468">
        <v>43464</v>
      </c>
      <c r="AJ1092" s="5" t="s">
        <v>3621</v>
      </c>
      <c r="AK1092" s="5" t="s">
        <v>3622</v>
      </c>
    </row>
    <row r="1093" spans="35:37">
      <c r="AI1093" s="468">
        <v>43465</v>
      </c>
      <c r="AJ1093" s="5" t="s">
        <v>3579</v>
      </c>
      <c r="AK1093" s="5" t="s">
        <v>3623</v>
      </c>
    </row>
    <row r="1094" spans="35:37">
      <c r="AI1094" s="468">
        <v>43466</v>
      </c>
      <c r="AJ1094" s="5" t="s">
        <v>3624</v>
      </c>
      <c r="AK1094" s="5" t="s">
        <v>3625</v>
      </c>
    </row>
    <row r="1095" spans="35:37">
      <c r="AI1095" s="468">
        <v>43467</v>
      </c>
      <c r="AJ1095" s="5" t="s">
        <v>3626</v>
      </c>
      <c r="AK1095" s="5" t="s">
        <v>3627</v>
      </c>
    </row>
    <row r="1096" spans="35:37">
      <c r="AI1096" s="468">
        <v>43468</v>
      </c>
      <c r="AJ1096" s="5" t="s">
        <v>3628</v>
      </c>
      <c r="AK1096" s="5" t="s">
        <v>3618</v>
      </c>
    </row>
    <row r="1097" spans="35:37">
      <c r="AI1097" s="468">
        <v>43469</v>
      </c>
      <c r="AJ1097" s="5" t="s">
        <v>3617</v>
      </c>
      <c r="AK1097" s="5" t="s">
        <v>3620</v>
      </c>
    </row>
    <row r="1098" spans="35:37">
      <c r="AI1098" s="468">
        <v>43470</v>
      </c>
      <c r="AJ1098" s="5" t="s">
        <v>3619</v>
      </c>
      <c r="AK1098" s="5" t="s">
        <v>3622</v>
      </c>
    </row>
    <row r="1099" spans="35:37">
      <c r="AI1099" s="468">
        <v>43471</v>
      </c>
      <c r="AJ1099" s="5" t="s">
        <v>3621</v>
      </c>
      <c r="AK1099" s="5" t="s">
        <v>3625</v>
      </c>
    </row>
    <row r="1100" spans="35:37">
      <c r="AI1100" s="468">
        <v>43472</v>
      </c>
      <c r="AJ1100" s="5" t="s">
        <v>3579</v>
      </c>
      <c r="AK1100" s="5" t="s">
        <v>3627</v>
      </c>
    </row>
    <row r="1101" spans="35:37">
      <c r="AI1101" s="468">
        <v>43473</v>
      </c>
      <c r="AJ1101" s="5" t="s">
        <v>3624</v>
      </c>
      <c r="AK1101" s="5" t="s">
        <v>3618</v>
      </c>
    </row>
    <row r="1102" spans="35:37">
      <c r="AI1102" s="468">
        <v>43474</v>
      </c>
      <c r="AJ1102" s="5" t="s">
        <v>3626</v>
      </c>
      <c r="AK1102" s="5" t="s">
        <v>3620</v>
      </c>
    </row>
    <row r="1103" spans="35:37">
      <c r="AI1103" s="468">
        <v>43475</v>
      </c>
      <c r="AJ1103" s="5" t="s">
        <v>3628</v>
      </c>
      <c r="AK1103" s="5" t="s">
        <v>3622</v>
      </c>
    </row>
    <row r="1104" spans="35:37">
      <c r="AI1104" s="468">
        <v>43476</v>
      </c>
      <c r="AJ1104" s="5" t="s">
        <v>3617</v>
      </c>
      <c r="AK1104" s="5" t="s">
        <v>3623</v>
      </c>
    </row>
    <row r="1105" spans="35:37">
      <c r="AI1105" s="468">
        <v>43477</v>
      </c>
      <c r="AJ1105" s="5" t="s">
        <v>3619</v>
      </c>
      <c r="AK1105" s="5" t="s">
        <v>3625</v>
      </c>
    </row>
    <row r="1106" spans="35:37">
      <c r="AI1106" s="468">
        <v>43478</v>
      </c>
      <c r="AJ1106" s="5" t="s">
        <v>3621</v>
      </c>
      <c r="AK1106" s="5" t="s">
        <v>3627</v>
      </c>
    </row>
    <row r="1107" spans="35:37">
      <c r="AI1107" s="468">
        <v>43479</v>
      </c>
      <c r="AJ1107" s="5" t="s">
        <v>3579</v>
      </c>
      <c r="AK1107" s="5" t="s">
        <v>3618</v>
      </c>
    </row>
    <row r="1108" spans="35:37">
      <c r="AI1108" s="468">
        <v>43480</v>
      </c>
      <c r="AJ1108" s="5" t="s">
        <v>3624</v>
      </c>
      <c r="AK1108" s="5" t="s">
        <v>3620</v>
      </c>
    </row>
    <row r="1109" spans="35:37">
      <c r="AI1109" s="468">
        <v>43481</v>
      </c>
      <c r="AJ1109" s="5" t="s">
        <v>3626</v>
      </c>
      <c r="AK1109" s="5" t="s">
        <v>3622</v>
      </c>
    </row>
    <row r="1110" spans="35:37">
      <c r="AI1110" s="468">
        <v>43482</v>
      </c>
      <c r="AJ1110" s="5" t="s">
        <v>3628</v>
      </c>
      <c r="AK1110" s="5" t="s">
        <v>3623</v>
      </c>
    </row>
    <row r="1111" spans="35:37">
      <c r="AI1111" s="468">
        <v>43483</v>
      </c>
      <c r="AJ1111" s="5" t="s">
        <v>3617</v>
      </c>
      <c r="AK1111" s="5" t="s">
        <v>3625</v>
      </c>
    </row>
    <row r="1112" spans="35:37">
      <c r="AI1112" s="468">
        <v>43484</v>
      </c>
      <c r="AJ1112" s="5" t="s">
        <v>3619</v>
      </c>
      <c r="AK1112" s="5" t="s">
        <v>3627</v>
      </c>
    </row>
    <row r="1113" spans="35:37">
      <c r="AI1113" s="468">
        <v>43485</v>
      </c>
      <c r="AJ1113" s="5" t="s">
        <v>3621</v>
      </c>
      <c r="AK1113" s="5" t="s">
        <v>3618</v>
      </c>
    </row>
    <row r="1114" spans="35:37">
      <c r="AI1114" s="468">
        <v>43486</v>
      </c>
      <c r="AJ1114" s="5" t="s">
        <v>3579</v>
      </c>
      <c r="AK1114" s="5" t="s">
        <v>3620</v>
      </c>
    </row>
    <row r="1115" spans="35:37">
      <c r="AI1115" s="468">
        <v>43487</v>
      </c>
      <c r="AJ1115" s="5" t="s">
        <v>3624</v>
      </c>
      <c r="AK1115" s="5" t="s">
        <v>3622</v>
      </c>
    </row>
    <row r="1116" spans="35:37">
      <c r="AI1116" s="468">
        <v>43488</v>
      </c>
      <c r="AJ1116" s="5" t="s">
        <v>3626</v>
      </c>
      <c r="AK1116" s="5" t="s">
        <v>3623</v>
      </c>
    </row>
    <row r="1117" spans="35:37">
      <c r="AI1117" s="468">
        <v>43489</v>
      </c>
      <c r="AJ1117" s="5" t="s">
        <v>3628</v>
      </c>
      <c r="AK1117" s="5" t="s">
        <v>3625</v>
      </c>
    </row>
    <row r="1118" spans="35:37">
      <c r="AI1118" s="468">
        <v>43490</v>
      </c>
      <c r="AJ1118" s="5" t="s">
        <v>3617</v>
      </c>
      <c r="AK1118" s="5" t="s">
        <v>3627</v>
      </c>
    </row>
    <row r="1119" spans="35:37">
      <c r="AI1119" s="468">
        <v>43491</v>
      </c>
      <c r="AJ1119" s="5" t="s">
        <v>3619</v>
      </c>
      <c r="AK1119" s="5" t="s">
        <v>3618</v>
      </c>
    </row>
    <row r="1120" spans="35:37">
      <c r="AI1120" s="468">
        <v>43492</v>
      </c>
      <c r="AJ1120" s="5" t="s">
        <v>3621</v>
      </c>
      <c r="AK1120" s="5" t="s">
        <v>3620</v>
      </c>
    </row>
    <row r="1121" spans="35:37">
      <c r="AI1121" s="468">
        <v>43493</v>
      </c>
      <c r="AJ1121" s="5" t="s">
        <v>3579</v>
      </c>
      <c r="AK1121" s="5" t="s">
        <v>3622</v>
      </c>
    </row>
    <row r="1122" spans="35:37">
      <c r="AI1122" s="468">
        <v>43494</v>
      </c>
      <c r="AJ1122" s="5" t="s">
        <v>3624</v>
      </c>
      <c r="AK1122" s="5" t="s">
        <v>3623</v>
      </c>
    </row>
    <row r="1123" spans="35:37">
      <c r="AI1123" s="468">
        <v>43495</v>
      </c>
      <c r="AJ1123" s="5" t="s">
        <v>3626</v>
      </c>
      <c r="AK1123" s="5" t="s">
        <v>3625</v>
      </c>
    </row>
    <row r="1124" spans="35:37">
      <c r="AI1124" s="468">
        <v>43496</v>
      </c>
      <c r="AJ1124" s="5" t="s">
        <v>3628</v>
      </c>
      <c r="AK1124" s="5" t="s">
        <v>3627</v>
      </c>
    </row>
    <row r="1125" spans="35:37">
      <c r="AI1125" s="468">
        <v>43497</v>
      </c>
      <c r="AJ1125" s="5" t="s">
        <v>3617</v>
      </c>
      <c r="AK1125" s="5" t="s">
        <v>3618</v>
      </c>
    </row>
    <row r="1126" spans="35:37">
      <c r="AI1126" s="468">
        <v>43498</v>
      </c>
      <c r="AJ1126" s="5" t="s">
        <v>3619</v>
      </c>
      <c r="AK1126" s="5" t="s">
        <v>3620</v>
      </c>
    </row>
    <row r="1127" spans="35:37">
      <c r="AI1127" s="468">
        <v>43499</v>
      </c>
      <c r="AJ1127" s="5" t="s">
        <v>3621</v>
      </c>
      <c r="AK1127" s="5" t="s">
        <v>3622</v>
      </c>
    </row>
    <row r="1128" spans="35:37">
      <c r="AI1128" s="468">
        <v>43500</v>
      </c>
      <c r="AJ1128" s="5" t="s">
        <v>3579</v>
      </c>
      <c r="AK1128" s="5" t="s">
        <v>3623</v>
      </c>
    </row>
    <row r="1129" spans="35:37">
      <c r="AI1129" s="468">
        <v>43501</v>
      </c>
      <c r="AJ1129" s="5" t="s">
        <v>3624</v>
      </c>
      <c r="AK1129" s="5" t="s">
        <v>3627</v>
      </c>
    </row>
    <row r="1130" spans="35:37">
      <c r="AI1130" s="468">
        <v>43502</v>
      </c>
      <c r="AJ1130" s="5" t="s">
        <v>3626</v>
      </c>
      <c r="AK1130" s="5" t="s">
        <v>3618</v>
      </c>
    </row>
    <row r="1131" spans="35:37">
      <c r="AI1131" s="468">
        <v>43503</v>
      </c>
      <c r="AJ1131" s="5" t="s">
        <v>3628</v>
      </c>
      <c r="AK1131" s="5" t="s">
        <v>3620</v>
      </c>
    </row>
    <row r="1132" spans="35:37">
      <c r="AI1132" s="468">
        <v>43504</v>
      </c>
      <c r="AJ1132" s="5" t="s">
        <v>3617</v>
      </c>
      <c r="AK1132" s="5" t="s">
        <v>3622</v>
      </c>
    </row>
    <row r="1133" spans="35:37">
      <c r="AI1133" s="468">
        <v>43505</v>
      </c>
      <c r="AJ1133" s="5" t="s">
        <v>3619</v>
      </c>
      <c r="AK1133" s="5" t="s">
        <v>3623</v>
      </c>
    </row>
    <row r="1134" spans="35:37">
      <c r="AI1134" s="468">
        <v>43506</v>
      </c>
      <c r="AJ1134" s="5" t="s">
        <v>3621</v>
      </c>
      <c r="AK1134" s="5" t="s">
        <v>3625</v>
      </c>
    </row>
    <row r="1135" spans="35:37">
      <c r="AI1135" s="468">
        <v>43507</v>
      </c>
      <c r="AJ1135" s="5" t="s">
        <v>3579</v>
      </c>
      <c r="AK1135" s="5" t="s">
        <v>3627</v>
      </c>
    </row>
    <row r="1136" spans="35:37">
      <c r="AI1136" s="468">
        <v>43508</v>
      </c>
      <c r="AJ1136" s="5" t="s">
        <v>3624</v>
      </c>
      <c r="AK1136" s="5" t="s">
        <v>3618</v>
      </c>
    </row>
    <row r="1137" spans="35:37">
      <c r="AI1137" s="468">
        <v>43509</v>
      </c>
      <c r="AJ1137" s="5" t="s">
        <v>3626</v>
      </c>
      <c r="AK1137" s="5" t="s">
        <v>3620</v>
      </c>
    </row>
    <row r="1138" spans="35:37">
      <c r="AI1138" s="468">
        <v>43510</v>
      </c>
      <c r="AJ1138" s="5" t="s">
        <v>3628</v>
      </c>
      <c r="AK1138" s="5" t="s">
        <v>3622</v>
      </c>
    </row>
    <row r="1139" spans="35:37">
      <c r="AI1139" s="468">
        <v>43511</v>
      </c>
      <c r="AJ1139" s="5" t="s">
        <v>3617</v>
      </c>
      <c r="AK1139" s="5" t="s">
        <v>3623</v>
      </c>
    </row>
    <row r="1140" spans="35:37">
      <c r="AI1140" s="468">
        <v>43512</v>
      </c>
      <c r="AJ1140" s="5" t="s">
        <v>3619</v>
      </c>
      <c r="AK1140" s="5" t="s">
        <v>3625</v>
      </c>
    </row>
    <row r="1141" spans="35:37">
      <c r="AI1141" s="468">
        <v>43513</v>
      </c>
      <c r="AJ1141" s="5" t="s">
        <v>3621</v>
      </c>
      <c r="AK1141" s="5" t="s">
        <v>3627</v>
      </c>
    </row>
    <row r="1142" spans="35:37">
      <c r="AI1142" s="468">
        <v>43514</v>
      </c>
      <c r="AJ1142" s="5" t="s">
        <v>3579</v>
      </c>
      <c r="AK1142" s="5" t="s">
        <v>3618</v>
      </c>
    </row>
    <row r="1143" spans="35:37">
      <c r="AI1143" s="468">
        <v>43515</v>
      </c>
      <c r="AJ1143" s="5" t="s">
        <v>3624</v>
      </c>
      <c r="AK1143" s="5" t="s">
        <v>3620</v>
      </c>
    </row>
    <row r="1144" spans="35:37">
      <c r="AI1144" s="468">
        <v>43516</v>
      </c>
      <c r="AJ1144" s="5" t="s">
        <v>3626</v>
      </c>
      <c r="AK1144" s="5" t="s">
        <v>3622</v>
      </c>
    </row>
    <row r="1145" spans="35:37">
      <c r="AI1145" s="468">
        <v>43517</v>
      </c>
      <c r="AJ1145" s="5" t="s">
        <v>3628</v>
      </c>
      <c r="AK1145" s="5" t="s">
        <v>3623</v>
      </c>
    </row>
    <row r="1146" spans="35:37">
      <c r="AI1146" s="468">
        <v>43518</v>
      </c>
      <c r="AJ1146" s="5" t="s">
        <v>3617</v>
      </c>
      <c r="AK1146" s="5" t="s">
        <v>3625</v>
      </c>
    </row>
    <row r="1147" spans="35:37">
      <c r="AI1147" s="468">
        <v>43519</v>
      </c>
      <c r="AJ1147" s="5" t="s">
        <v>3619</v>
      </c>
      <c r="AK1147" s="5" t="s">
        <v>3627</v>
      </c>
    </row>
    <row r="1148" spans="35:37">
      <c r="AI1148" s="468">
        <v>43520</v>
      </c>
      <c r="AJ1148" s="5" t="s">
        <v>3621</v>
      </c>
      <c r="AK1148" s="5" t="s">
        <v>3618</v>
      </c>
    </row>
    <row r="1149" spans="35:37">
      <c r="AI1149" s="468">
        <v>43521</v>
      </c>
      <c r="AJ1149" s="5" t="s">
        <v>3579</v>
      </c>
      <c r="AK1149" s="5" t="s">
        <v>3620</v>
      </c>
    </row>
    <row r="1150" spans="35:37">
      <c r="AI1150" s="468">
        <v>43522</v>
      </c>
      <c r="AJ1150" s="5" t="s">
        <v>3624</v>
      </c>
      <c r="AK1150" s="5" t="s">
        <v>3622</v>
      </c>
    </row>
    <row r="1151" spans="35:37">
      <c r="AI1151" s="468">
        <v>43523</v>
      </c>
      <c r="AJ1151" s="5" t="s">
        <v>3626</v>
      </c>
      <c r="AK1151" s="5" t="s">
        <v>3623</v>
      </c>
    </row>
    <row r="1152" spans="35:37">
      <c r="AI1152" s="468">
        <v>43524</v>
      </c>
      <c r="AJ1152" s="5" t="s">
        <v>3628</v>
      </c>
      <c r="AK1152" s="5" t="s">
        <v>3625</v>
      </c>
    </row>
    <row r="1153" spans="35:37">
      <c r="AI1153" s="468">
        <v>43525</v>
      </c>
      <c r="AJ1153" s="5" t="s">
        <v>3617</v>
      </c>
      <c r="AK1153" s="5" t="s">
        <v>3627</v>
      </c>
    </row>
    <row r="1154" spans="35:37">
      <c r="AI1154" s="468">
        <v>43526</v>
      </c>
      <c r="AJ1154" s="5" t="s">
        <v>3619</v>
      </c>
      <c r="AK1154" s="5" t="s">
        <v>3618</v>
      </c>
    </row>
    <row r="1155" spans="35:37">
      <c r="AI1155" s="468">
        <v>43527</v>
      </c>
      <c r="AJ1155" s="5" t="s">
        <v>3621</v>
      </c>
      <c r="AK1155" s="5" t="s">
        <v>3620</v>
      </c>
    </row>
    <row r="1156" spans="35:37">
      <c r="AI1156" s="468">
        <v>43528</v>
      </c>
      <c r="AJ1156" s="5" t="s">
        <v>3579</v>
      </c>
      <c r="AK1156" s="5" t="s">
        <v>3622</v>
      </c>
    </row>
    <row r="1157" spans="35:37">
      <c r="AI1157" s="468">
        <v>43529</v>
      </c>
      <c r="AJ1157" s="5" t="s">
        <v>3624</v>
      </c>
      <c r="AK1157" s="5" t="s">
        <v>3623</v>
      </c>
    </row>
    <row r="1158" spans="35:37">
      <c r="AI1158" s="468">
        <v>43530</v>
      </c>
      <c r="AJ1158" s="5" t="s">
        <v>3626</v>
      </c>
      <c r="AK1158" s="5" t="s">
        <v>3625</v>
      </c>
    </row>
    <row r="1159" spans="35:37">
      <c r="AI1159" s="468">
        <v>43531</v>
      </c>
      <c r="AJ1159" s="5" t="s">
        <v>3628</v>
      </c>
      <c r="AK1159" s="5" t="s">
        <v>3618</v>
      </c>
    </row>
    <row r="1160" spans="35:37">
      <c r="AI1160" s="468">
        <v>43532</v>
      </c>
      <c r="AJ1160" s="5" t="s">
        <v>3617</v>
      </c>
      <c r="AK1160" s="5" t="s">
        <v>3620</v>
      </c>
    </row>
    <row r="1161" spans="35:37">
      <c r="AI1161" s="468">
        <v>43533</v>
      </c>
      <c r="AJ1161" s="5" t="s">
        <v>3619</v>
      </c>
      <c r="AK1161" s="5" t="s">
        <v>3622</v>
      </c>
    </row>
    <row r="1162" spans="35:37">
      <c r="AI1162" s="468">
        <v>43534</v>
      </c>
      <c r="AJ1162" s="5" t="s">
        <v>3621</v>
      </c>
      <c r="AK1162" s="5" t="s">
        <v>3623</v>
      </c>
    </row>
    <row r="1163" spans="35:37">
      <c r="AI1163" s="468">
        <v>43535</v>
      </c>
      <c r="AJ1163" s="5" t="s">
        <v>3579</v>
      </c>
      <c r="AK1163" s="5" t="s">
        <v>3625</v>
      </c>
    </row>
    <row r="1164" spans="35:37">
      <c r="AI1164" s="468">
        <v>43536</v>
      </c>
      <c r="AJ1164" s="5" t="s">
        <v>3624</v>
      </c>
      <c r="AK1164" s="5" t="s">
        <v>3627</v>
      </c>
    </row>
    <row r="1165" spans="35:37">
      <c r="AI1165" s="468">
        <v>43537</v>
      </c>
      <c r="AJ1165" s="5" t="s">
        <v>3626</v>
      </c>
      <c r="AK1165" s="5" t="s">
        <v>3618</v>
      </c>
    </row>
    <row r="1166" spans="35:37">
      <c r="AI1166" s="468">
        <v>43538</v>
      </c>
      <c r="AJ1166" s="5" t="s">
        <v>3628</v>
      </c>
      <c r="AK1166" s="5" t="s">
        <v>3620</v>
      </c>
    </row>
    <row r="1167" spans="35:37">
      <c r="AI1167" s="468">
        <v>43539</v>
      </c>
      <c r="AJ1167" s="5" t="s">
        <v>3617</v>
      </c>
      <c r="AK1167" s="5" t="s">
        <v>3622</v>
      </c>
    </row>
    <row r="1168" spans="35:37">
      <c r="AI1168" s="468">
        <v>43540</v>
      </c>
      <c r="AJ1168" s="5" t="s">
        <v>3619</v>
      </c>
      <c r="AK1168" s="5" t="s">
        <v>3623</v>
      </c>
    </row>
    <row r="1169" spans="35:37">
      <c r="AI1169" s="468">
        <v>43541</v>
      </c>
      <c r="AJ1169" s="5" t="s">
        <v>3621</v>
      </c>
      <c r="AK1169" s="5" t="s">
        <v>3625</v>
      </c>
    </row>
    <row r="1170" spans="35:37">
      <c r="AI1170" s="468">
        <v>43542</v>
      </c>
      <c r="AJ1170" s="5" t="s">
        <v>3579</v>
      </c>
      <c r="AK1170" s="5" t="s">
        <v>3627</v>
      </c>
    </row>
    <row r="1171" spans="35:37">
      <c r="AI1171" s="468">
        <v>43543</v>
      </c>
      <c r="AJ1171" s="5" t="s">
        <v>3624</v>
      </c>
      <c r="AK1171" s="5" t="s">
        <v>3618</v>
      </c>
    </row>
    <row r="1172" spans="35:37">
      <c r="AI1172" s="468">
        <v>43544</v>
      </c>
      <c r="AJ1172" s="5" t="s">
        <v>3626</v>
      </c>
      <c r="AK1172" s="5" t="s">
        <v>3620</v>
      </c>
    </row>
    <row r="1173" spans="35:37">
      <c r="AI1173" s="468">
        <v>43545</v>
      </c>
      <c r="AJ1173" s="5" t="s">
        <v>3628</v>
      </c>
      <c r="AK1173" s="5" t="s">
        <v>3622</v>
      </c>
    </row>
    <row r="1174" spans="35:37">
      <c r="AI1174" s="468">
        <v>43546</v>
      </c>
      <c r="AJ1174" s="5" t="s">
        <v>3617</v>
      </c>
      <c r="AK1174" s="5" t="s">
        <v>3623</v>
      </c>
    </row>
    <row r="1175" spans="35:37">
      <c r="AI1175" s="468">
        <v>43547</v>
      </c>
      <c r="AJ1175" s="5" t="s">
        <v>3619</v>
      </c>
      <c r="AK1175" s="5" t="s">
        <v>3625</v>
      </c>
    </row>
    <row r="1176" spans="35:37">
      <c r="AI1176" s="468">
        <v>43548</v>
      </c>
      <c r="AJ1176" s="5" t="s">
        <v>3621</v>
      </c>
      <c r="AK1176" s="5" t="s">
        <v>3627</v>
      </c>
    </row>
    <row r="1177" spans="35:37">
      <c r="AI1177" s="468">
        <v>43549</v>
      </c>
      <c r="AJ1177" s="5" t="s">
        <v>3579</v>
      </c>
      <c r="AK1177" s="5" t="s">
        <v>3618</v>
      </c>
    </row>
    <row r="1178" spans="35:37">
      <c r="AI1178" s="468">
        <v>43550</v>
      </c>
      <c r="AJ1178" s="5" t="s">
        <v>3624</v>
      </c>
      <c r="AK1178" s="5" t="s">
        <v>3620</v>
      </c>
    </row>
    <row r="1179" spans="35:37">
      <c r="AI1179" s="468">
        <v>43551</v>
      </c>
      <c r="AJ1179" s="5" t="s">
        <v>3626</v>
      </c>
      <c r="AK1179" s="5" t="s">
        <v>3622</v>
      </c>
    </row>
    <row r="1180" spans="35:37">
      <c r="AI1180" s="468">
        <v>43552</v>
      </c>
      <c r="AJ1180" s="5" t="s">
        <v>3628</v>
      </c>
      <c r="AK1180" s="5" t="s">
        <v>3623</v>
      </c>
    </row>
    <row r="1181" spans="35:37">
      <c r="AI1181" s="468">
        <v>43553</v>
      </c>
      <c r="AJ1181" s="5" t="s">
        <v>3617</v>
      </c>
      <c r="AK1181" s="5" t="s">
        <v>3625</v>
      </c>
    </row>
    <row r="1182" spans="35:37">
      <c r="AI1182" s="468">
        <v>43554</v>
      </c>
      <c r="AJ1182" s="5" t="s">
        <v>3619</v>
      </c>
      <c r="AK1182" s="5" t="s">
        <v>3627</v>
      </c>
    </row>
    <row r="1183" spans="35:37">
      <c r="AI1183" s="468">
        <v>43555</v>
      </c>
      <c r="AJ1183" s="5" t="s">
        <v>3621</v>
      </c>
      <c r="AK1183" s="5" t="s">
        <v>3618</v>
      </c>
    </row>
    <row r="1184" spans="35:37">
      <c r="AI1184" s="468">
        <v>43556</v>
      </c>
      <c r="AJ1184" s="5" t="s">
        <v>3579</v>
      </c>
      <c r="AK1184" s="5" t="s">
        <v>3620</v>
      </c>
    </row>
    <row r="1185" spans="35:37">
      <c r="AI1185" s="468">
        <v>43557</v>
      </c>
      <c r="AJ1185" s="5" t="s">
        <v>3624</v>
      </c>
      <c r="AK1185" s="5" t="s">
        <v>3622</v>
      </c>
    </row>
    <row r="1186" spans="35:37">
      <c r="AI1186" s="468">
        <v>43558</v>
      </c>
      <c r="AJ1186" s="5" t="s">
        <v>3626</v>
      </c>
      <c r="AK1186" s="5" t="s">
        <v>3623</v>
      </c>
    </row>
    <row r="1187" spans="35:37">
      <c r="AI1187" s="468">
        <v>43559</v>
      </c>
      <c r="AJ1187" s="5" t="s">
        <v>3628</v>
      </c>
      <c r="AK1187" s="5" t="s">
        <v>3625</v>
      </c>
    </row>
    <row r="1188" spans="35:37">
      <c r="AI1188" s="468">
        <v>43560</v>
      </c>
      <c r="AJ1188" s="5" t="s">
        <v>3617</v>
      </c>
      <c r="AK1188" s="5" t="s">
        <v>3620</v>
      </c>
    </row>
    <row r="1189" spans="35:37">
      <c r="AI1189" s="468">
        <v>43561</v>
      </c>
      <c r="AJ1189" s="5" t="s">
        <v>3619</v>
      </c>
      <c r="AK1189" s="5" t="s">
        <v>3622</v>
      </c>
    </row>
    <row r="1190" spans="35:37">
      <c r="AI1190" s="468">
        <v>43562</v>
      </c>
      <c r="AJ1190" s="5" t="s">
        <v>3621</v>
      </c>
      <c r="AK1190" s="5" t="s">
        <v>3623</v>
      </c>
    </row>
    <row r="1191" spans="35:37">
      <c r="AI1191" s="468">
        <v>43563</v>
      </c>
      <c r="AJ1191" s="5" t="s">
        <v>3579</v>
      </c>
      <c r="AK1191" s="5" t="s">
        <v>3625</v>
      </c>
    </row>
    <row r="1192" spans="35:37">
      <c r="AI1192" s="468">
        <v>43564</v>
      </c>
      <c r="AJ1192" s="5" t="s">
        <v>3624</v>
      </c>
      <c r="AK1192" s="5" t="s">
        <v>3627</v>
      </c>
    </row>
    <row r="1193" spans="35:37">
      <c r="AI1193" s="468">
        <v>43565</v>
      </c>
      <c r="AJ1193" s="5" t="s">
        <v>3626</v>
      </c>
      <c r="AK1193" s="5" t="s">
        <v>3618</v>
      </c>
    </row>
    <row r="1194" spans="35:37">
      <c r="AI1194" s="468">
        <v>43566</v>
      </c>
      <c r="AJ1194" s="5" t="s">
        <v>3628</v>
      </c>
      <c r="AK1194" s="5" t="s">
        <v>3620</v>
      </c>
    </row>
    <row r="1195" spans="35:37">
      <c r="AI1195" s="468">
        <v>43567</v>
      </c>
      <c r="AJ1195" s="5" t="s">
        <v>3617</v>
      </c>
      <c r="AK1195" s="5" t="s">
        <v>3622</v>
      </c>
    </row>
    <row r="1196" spans="35:37">
      <c r="AI1196" s="468">
        <v>43568</v>
      </c>
      <c r="AJ1196" s="5" t="s">
        <v>3619</v>
      </c>
      <c r="AK1196" s="5" t="s">
        <v>3623</v>
      </c>
    </row>
    <row r="1197" spans="35:37">
      <c r="AI1197" s="468">
        <v>43569</v>
      </c>
      <c r="AJ1197" s="5" t="s">
        <v>3621</v>
      </c>
      <c r="AK1197" s="5" t="s">
        <v>3625</v>
      </c>
    </row>
    <row r="1198" spans="35:37">
      <c r="AI1198" s="468">
        <v>43570</v>
      </c>
      <c r="AJ1198" s="5" t="s">
        <v>3579</v>
      </c>
      <c r="AK1198" s="5" t="s">
        <v>3627</v>
      </c>
    </row>
    <row r="1199" spans="35:37">
      <c r="AI1199" s="468">
        <v>43571</v>
      </c>
      <c r="AJ1199" s="5" t="s">
        <v>3624</v>
      </c>
      <c r="AK1199" s="5" t="s">
        <v>3618</v>
      </c>
    </row>
    <row r="1200" spans="35:37">
      <c r="AI1200" s="468">
        <v>43572</v>
      </c>
      <c r="AJ1200" s="5" t="s">
        <v>3626</v>
      </c>
      <c r="AK1200" s="5" t="s">
        <v>3620</v>
      </c>
    </row>
    <row r="1201" spans="35:37">
      <c r="AI1201" s="468">
        <v>43573</v>
      </c>
      <c r="AJ1201" s="5" t="s">
        <v>3628</v>
      </c>
      <c r="AK1201" s="5" t="s">
        <v>3622</v>
      </c>
    </row>
    <row r="1202" spans="35:37">
      <c r="AI1202" s="468">
        <v>43574</v>
      </c>
      <c r="AJ1202" s="5" t="s">
        <v>3617</v>
      </c>
      <c r="AK1202" s="5" t="s">
        <v>3623</v>
      </c>
    </row>
    <row r="1203" spans="35:37">
      <c r="AI1203" s="468">
        <v>43575</v>
      </c>
      <c r="AJ1203" s="5" t="s">
        <v>3619</v>
      </c>
      <c r="AK1203" s="5" t="s">
        <v>3625</v>
      </c>
    </row>
    <row r="1204" spans="35:37">
      <c r="AI1204" s="468">
        <v>43576</v>
      </c>
      <c r="AJ1204" s="5" t="s">
        <v>3621</v>
      </c>
      <c r="AK1204" s="5" t="s">
        <v>3627</v>
      </c>
    </row>
    <row r="1205" spans="35:37">
      <c r="AI1205" s="468">
        <v>43577</v>
      </c>
      <c r="AJ1205" s="5" t="s">
        <v>3579</v>
      </c>
      <c r="AK1205" s="5" t="s">
        <v>3618</v>
      </c>
    </row>
    <row r="1206" spans="35:37">
      <c r="AI1206" s="468">
        <v>43578</v>
      </c>
      <c r="AJ1206" s="5" t="s">
        <v>3624</v>
      </c>
      <c r="AK1206" s="5" t="s">
        <v>3620</v>
      </c>
    </row>
    <row r="1207" spans="35:37">
      <c r="AI1207" s="468">
        <v>43579</v>
      </c>
      <c r="AJ1207" s="5" t="s">
        <v>3626</v>
      </c>
      <c r="AK1207" s="5" t="s">
        <v>3622</v>
      </c>
    </row>
    <row r="1208" spans="35:37">
      <c r="AI1208" s="468">
        <v>43580</v>
      </c>
      <c r="AJ1208" s="5" t="s">
        <v>3628</v>
      </c>
      <c r="AK1208" s="5" t="s">
        <v>3623</v>
      </c>
    </row>
    <row r="1209" spans="35:37">
      <c r="AI1209" s="468">
        <v>43581</v>
      </c>
      <c r="AJ1209" s="5" t="s">
        <v>3617</v>
      </c>
      <c r="AK1209" s="5" t="s">
        <v>3625</v>
      </c>
    </row>
    <row r="1210" spans="35:37">
      <c r="AI1210" s="468">
        <v>43582</v>
      </c>
      <c r="AJ1210" s="5" t="s">
        <v>3619</v>
      </c>
      <c r="AK1210" s="5" t="s">
        <v>3627</v>
      </c>
    </row>
    <row r="1211" spans="35:37">
      <c r="AI1211" s="468">
        <v>43583</v>
      </c>
      <c r="AJ1211" s="5" t="s">
        <v>3621</v>
      </c>
      <c r="AK1211" s="5" t="s">
        <v>3618</v>
      </c>
    </row>
    <row r="1212" spans="35:37">
      <c r="AI1212" s="468">
        <v>43584</v>
      </c>
      <c r="AJ1212" s="5" t="s">
        <v>3579</v>
      </c>
      <c r="AK1212" s="5" t="s">
        <v>3620</v>
      </c>
    </row>
    <row r="1213" spans="35:37">
      <c r="AI1213" s="468">
        <v>43585</v>
      </c>
      <c r="AJ1213" s="5" t="s">
        <v>3624</v>
      </c>
      <c r="AK1213" s="5" t="s">
        <v>3622</v>
      </c>
    </row>
    <row r="1214" spans="35:37">
      <c r="AI1214" s="468">
        <v>43586</v>
      </c>
      <c r="AJ1214" s="5" t="s">
        <v>3626</v>
      </c>
      <c r="AK1214" s="5" t="s">
        <v>3623</v>
      </c>
    </row>
    <row r="1215" spans="35:37">
      <c r="AI1215" s="468">
        <v>43587</v>
      </c>
      <c r="AJ1215" s="5" t="s">
        <v>3628</v>
      </c>
      <c r="AK1215" s="5" t="s">
        <v>3625</v>
      </c>
    </row>
    <row r="1216" spans="35:37">
      <c r="AI1216" s="468">
        <v>43588</v>
      </c>
      <c r="AJ1216" s="5" t="s">
        <v>3617</v>
      </c>
      <c r="AK1216" s="5" t="s">
        <v>3627</v>
      </c>
    </row>
    <row r="1217" spans="35:37">
      <c r="AI1217" s="468">
        <v>43589</v>
      </c>
      <c r="AJ1217" s="5" t="s">
        <v>3619</v>
      </c>
      <c r="AK1217" s="5" t="s">
        <v>3618</v>
      </c>
    </row>
    <row r="1218" spans="35:37">
      <c r="AI1218" s="468">
        <v>43590</v>
      </c>
      <c r="AJ1218" s="5" t="s">
        <v>3621</v>
      </c>
      <c r="AK1218" s="5" t="s">
        <v>3622</v>
      </c>
    </row>
    <row r="1219" spans="35:37">
      <c r="AI1219" s="468">
        <v>43591</v>
      </c>
      <c r="AJ1219" s="5" t="s">
        <v>3579</v>
      </c>
      <c r="AK1219" s="5" t="s">
        <v>3623</v>
      </c>
    </row>
    <row r="1220" spans="35:37">
      <c r="AI1220" s="468">
        <v>43592</v>
      </c>
      <c r="AJ1220" s="5" t="s">
        <v>3624</v>
      </c>
      <c r="AK1220" s="5" t="s">
        <v>3625</v>
      </c>
    </row>
    <row r="1221" spans="35:37">
      <c r="AI1221" s="468">
        <v>43593</v>
      </c>
      <c r="AJ1221" s="5" t="s">
        <v>3626</v>
      </c>
      <c r="AK1221" s="5" t="s">
        <v>3627</v>
      </c>
    </row>
    <row r="1222" spans="35:37">
      <c r="AI1222" s="468">
        <v>43594</v>
      </c>
      <c r="AJ1222" s="5" t="s">
        <v>3628</v>
      </c>
      <c r="AK1222" s="5" t="s">
        <v>3618</v>
      </c>
    </row>
    <row r="1223" spans="35:37">
      <c r="AI1223" s="468">
        <v>43595</v>
      </c>
      <c r="AJ1223" s="5" t="s">
        <v>3617</v>
      </c>
      <c r="AK1223" s="5" t="s">
        <v>3620</v>
      </c>
    </row>
    <row r="1224" spans="35:37">
      <c r="AI1224" s="468">
        <v>43596</v>
      </c>
      <c r="AJ1224" s="5" t="s">
        <v>3619</v>
      </c>
      <c r="AK1224" s="5" t="s">
        <v>3622</v>
      </c>
    </row>
    <row r="1225" spans="35:37">
      <c r="AI1225" s="468">
        <v>43597</v>
      </c>
      <c r="AJ1225" s="5" t="s">
        <v>3621</v>
      </c>
      <c r="AK1225" s="5" t="s">
        <v>3623</v>
      </c>
    </row>
    <row r="1226" spans="35:37">
      <c r="AI1226" s="468">
        <v>43598</v>
      </c>
      <c r="AJ1226" s="5" t="s">
        <v>3579</v>
      </c>
      <c r="AK1226" s="5" t="s">
        <v>3625</v>
      </c>
    </row>
    <row r="1227" spans="35:37">
      <c r="AI1227" s="468">
        <v>43599</v>
      </c>
      <c r="AJ1227" s="5" t="s">
        <v>3624</v>
      </c>
      <c r="AK1227" s="5" t="s">
        <v>3627</v>
      </c>
    </row>
    <row r="1228" spans="35:37">
      <c r="AI1228" s="468">
        <v>43600</v>
      </c>
      <c r="AJ1228" s="5" t="s">
        <v>3626</v>
      </c>
      <c r="AK1228" s="5" t="s">
        <v>3618</v>
      </c>
    </row>
    <row r="1229" spans="35:37">
      <c r="AI1229" s="468">
        <v>43601</v>
      </c>
      <c r="AJ1229" s="5" t="s">
        <v>3628</v>
      </c>
      <c r="AK1229" s="5" t="s">
        <v>3620</v>
      </c>
    </row>
    <row r="1230" spans="35:37">
      <c r="AI1230" s="468">
        <v>43602</v>
      </c>
      <c r="AJ1230" s="5" t="s">
        <v>3617</v>
      </c>
      <c r="AK1230" s="5" t="s">
        <v>3622</v>
      </c>
    </row>
    <row r="1231" spans="35:37">
      <c r="AI1231" s="468">
        <v>43603</v>
      </c>
      <c r="AJ1231" s="5" t="s">
        <v>3619</v>
      </c>
      <c r="AK1231" s="5" t="s">
        <v>3623</v>
      </c>
    </row>
    <row r="1232" spans="35:37">
      <c r="AI1232" s="468">
        <v>43604</v>
      </c>
      <c r="AJ1232" s="5" t="s">
        <v>3621</v>
      </c>
      <c r="AK1232" s="5" t="s">
        <v>3625</v>
      </c>
    </row>
    <row r="1233" spans="35:37">
      <c r="AI1233" s="468">
        <v>43605</v>
      </c>
      <c r="AJ1233" s="5" t="s">
        <v>3579</v>
      </c>
      <c r="AK1233" s="5" t="s">
        <v>3627</v>
      </c>
    </row>
    <row r="1234" spans="35:37">
      <c r="AI1234" s="468">
        <v>43606</v>
      </c>
      <c r="AJ1234" s="5" t="s">
        <v>3624</v>
      </c>
      <c r="AK1234" s="5" t="s">
        <v>3618</v>
      </c>
    </row>
    <row r="1235" spans="35:37">
      <c r="AI1235" s="468">
        <v>43607</v>
      </c>
      <c r="AJ1235" s="5" t="s">
        <v>3626</v>
      </c>
      <c r="AK1235" s="5" t="s">
        <v>3620</v>
      </c>
    </row>
    <row r="1236" spans="35:37">
      <c r="AI1236" s="468">
        <v>43608</v>
      </c>
      <c r="AJ1236" s="5" t="s">
        <v>3628</v>
      </c>
      <c r="AK1236" s="5" t="s">
        <v>3622</v>
      </c>
    </row>
    <row r="1237" spans="35:37">
      <c r="AI1237" s="468">
        <v>43609</v>
      </c>
      <c r="AJ1237" s="5" t="s">
        <v>3617</v>
      </c>
      <c r="AK1237" s="5" t="s">
        <v>3623</v>
      </c>
    </row>
    <row r="1238" spans="35:37">
      <c r="AI1238" s="468">
        <v>43610</v>
      </c>
      <c r="AJ1238" s="5" t="s">
        <v>3619</v>
      </c>
      <c r="AK1238" s="5" t="s">
        <v>3625</v>
      </c>
    </row>
    <row r="1239" spans="35:37">
      <c r="AI1239" s="468">
        <v>43611</v>
      </c>
      <c r="AJ1239" s="5" t="s">
        <v>3621</v>
      </c>
      <c r="AK1239" s="5" t="s">
        <v>3627</v>
      </c>
    </row>
    <row r="1240" spans="35:37">
      <c r="AI1240" s="468">
        <v>43612</v>
      </c>
      <c r="AJ1240" s="5" t="s">
        <v>3579</v>
      </c>
      <c r="AK1240" s="5" t="s">
        <v>3618</v>
      </c>
    </row>
    <row r="1241" spans="35:37">
      <c r="AI1241" s="468">
        <v>43613</v>
      </c>
      <c r="AJ1241" s="5" t="s">
        <v>3624</v>
      </c>
      <c r="AK1241" s="5" t="s">
        <v>3620</v>
      </c>
    </row>
    <row r="1242" spans="35:37">
      <c r="AI1242" s="468">
        <v>43614</v>
      </c>
      <c r="AJ1242" s="5" t="s">
        <v>3626</v>
      </c>
      <c r="AK1242" s="5" t="s">
        <v>3622</v>
      </c>
    </row>
    <row r="1243" spans="35:37">
      <c r="AI1243" s="468">
        <v>43615</v>
      </c>
      <c r="AJ1243" s="5" t="s">
        <v>3628</v>
      </c>
      <c r="AK1243" s="5" t="s">
        <v>3623</v>
      </c>
    </row>
    <row r="1244" spans="35:37">
      <c r="AI1244" s="468">
        <v>43616</v>
      </c>
      <c r="AJ1244" s="5" t="s">
        <v>3617</v>
      </c>
      <c r="AK1244" s="5" t="s">
        <v>3625</v>
      </c>
    </row>
    <row r="1245" spans="35:37">
      <c r="AI1245" s="468">
        <v>43617</v>
      </c>
      <c r="AJ1245" s="5" t="s">
        <v>3619</v>
      </c>
      <c r="AK1245" s="5" t="s">
        <v>3627</v>
      </c>
    </row>
    <row r="1246" spans="35:37">
      <c r="AI1246" s="468">
        <v>43618</v>
      </c>
      <c r="AJ1246" s="5" t="s">
        <v>3621</v>
      </c>
      <c r="AK1246" s="5" t="s">
        <v>3618</v>
      </c>
    </row>
    <row r="1247" spans="35:37">
      <c r="AI1247" s="468">
        <v>43619</v>
      </c>
      <c r="AJ1247" s="5" t="s">
        <v>3579</v>
      </c>
      <c r="AK1247" s="5" t="s">
        <v>3623</v>
      </c>
    </row>
    <row r="1248" spans="35:37">
      <c r="AI1248" s="468">
        <v>43620</v>
      </c>
      <c r="AJ1248" s="5" t="s">
        <v>3624</v>
      </c>
      <c r="AK1248" s="5" t="s">
        <v>3625</v>
      </c>
    </row>
    <row r="1249" spans="35:37">
      <c r="AI1249" s="468">
        <v>43621</v>
      </c>
      <c r="AJ1249" s="5" t="s">
        <v>3626</v>
      </c>
      <c r="AK1249" s="5" t="s">
        <v>3627</v>
      </c>
    </row>
    <row r="1250" spans="35:37">
      <c r="AI1250" s="468">
        <v>43622</v>
      </c>
      <c r="AJ1250" s="5" t="s">
        <v>3628</v>
      </c>
      <c r="AK1250" s="5" t="s">
        <v>3618</v>
      </c>
    </row>
    <row r="1251" spans="35:37">
      <c r="AI1251" s="468">
        <v>43623</v>
      </c>
      <c r="AJ1251" s="5" t="s">
        <v>3617</v>
      </c>
      <c r="AK1251" s="5" t="s">
        <v>3620</v>
      </c>
    </row>
    <row r="1252" spans="35:37">
      <c r="AI1252" s="468">
        <v>43624</v>
      </c>
      <c r="AJ1252" s="5" t="s">
        <v>3619</v>
      </c>
      <c r="AK1252" s="5" t="s">
        <v>3622</v>
      </c>
    </row>
    <row r="1253" spans="35:37">
      <c r="AI1253" s="468">
        <v>43625</v>
      </c>
      <c r="AJ1253" s="5" t="s">
        <v>3621</v>
      </c>
      <c r="AK1253" s="5" t="s">
        <v>3623</v>
      </c>
    </row>
    <row r="1254" spans="35:37">
      <c r="AI1254" s="468">
        <v>43626</v>
      </c>
      <c r="AJ1254" s="5" t="s">
        <v>3579</v>
      </c>
      <c r="AK1254" s="5" t="s">
        <v>3625</v>
      </c>
    </row>
    <row r="1255" spans="35:37">
      <c r="AI1255" s="468">
        <v>43627</v>
      </c>
      <c r="AJ1255" s="5" t="s">
        <v>3624</v>
      </c>
      <c r="AK1255" s="5" t="s">
        <v>3627</v>
      </c>
    </row>
    <row r="1256" spans="35:37">
      <c r="AI1256" s="468">
        <v>43628</v>
      </c>
      <c r="AJ1256" s="5" t="s">
        <v>3626</v>
      </c>
      <c r="AK1256" s="5" t="s">
        <v>3618</v>
      </c>
    </row>
    <row r="1257" spans="35:37">
      <c r="AI1257" s="468">
        <v>43629</v>
      </c>
      <c r="AJ1257" s="5" t="s">
        <v>3628</v>
      </c>
      <c r="AK1257" s="5" t="s">
        <v>3620</v>
      </c>
    </row>
    <row r="1258" spans="35:37">
      <c r="AI1258" s="468">
        <v>43630</v>
      </c>
      <c r="AJ1258" s="5" t="s">
        <v>3617</v>
      </c>
      <c r="AK1258" s="5" t="s">
        <v>3622</v>
      </c>
    </row>
    <row r="1259" spans="35:37">
      <c r="AI1259" s="468">
        <v>43631</v>
      </c>
      <c r="AJ1259" s="5" t="s">
        <v>3619</v>
      </c>
      <c r="AK1259" s="5" t="s">
        <v>3623</v>
      </c>
    </row>
    <row r="1260" spans="35:37">
      <c r="AI1260" s="468">
        <v>43632</v>
      </c>
      <c r="AJ1260" s="5" t="s">
        <v>3621</v>
      </c>
      <c r="AK1260" s="5" t="s">
        <v>3625</v>
      </c>
    </row>
    <row r="1261" spans="35:37">
      <c r="AI1261" s="468">
        <v>43633</v>
      </c>
      <c r="AJ1261" s="5" t="s">
        <v>3579</v>
      </c>
      <c r="AK1261" s="5" t="s">
        <v>3627</v>
      </c>
    </row>
    <row r="1262" spans="35:37">
      <c r="AI1262" s="468">
        <v>43634</v>
      </c>
      <c r="AJ1262" s="5" t="s">
        <v>3624</v>
      </c>
      <c r="AK1262" s="5" t="s">
        <v>3618</v>
      </c>
    </row>
    <row r="1263" spans="35:37">
      <c r="AI1263" s="468">
        <v>43635</v>
      </c>
      <c r="AJ1263" s="5" t="s">
        <v>3626</v>
      </c>
      <c r="AK1263" s="5" t="s">
        <v>3620</v>
      </c>
    </row>
    <row r="1264" spans="35:37">
      <c r="AI1264" s="468">
        <v>43636</v>
      </c>
      <c r="AJ1264" s="5" t="s">
        <v>3628</v>
      </c>
      <c r="AK1264" s="5" t="s">
        <v>3622</v>
      </c>
    </row>
    <row r="1265" spans="35:37">
      <c r="AI1265" s="468">
        <v>43637</v>
      </c>
      <c r="AJ1265" s="5" t="s">
        <v>3617</v>
      </c>
      <c r="AK1265" s="5" t="s">
        <v>3623</v>
      </c>
    </row>
    <row r="1266" spans="35:37">
      <c r="AI1266" s="468">
        <v>43638</v>
      </c>
      <c r="AJ1266" s="5" t="s">
        <v>3619</v>
      </c>
      <c r="AK1266" s="5" t="s">
        <v>3625</v>
      </c>
    </row>
    <row r="1267" spans="35:37">
      <c r="AI1267" s="468">
        <v>43639</v>
      </c>
      <c r="AJ1267" s="5" t="s">
        <v>3621</v>
      </c>
      <c r="AK1267" s="5" t="s">
        <v>3627</v>
      </c>
    </row>
    <row r="1268" spans="35:37">
      <c r="AI1268" s="468">
        <v>43640</v>
      </c>
      <c r="AJ1268" s="5" t="s">
        <v>3579</v>
      </c>
      <c r="AK1268" s="5" t="s">
        <v>3618</v>
      </c>
    </row>
    <row r="1269" spans="35:37">
      <c r="AI1269" s="468">
        <v>43641</v>
      </c>
      <c r="AJ1269" s="5" t="s">
        <v>3624</v>
      </c>
      <c r="AK1269" s="5" t="s">
        <v>3620</v>
      </c>
    </row>
    <row r="1270" spans="35:37">
      <c r="AI1270" s="468">
        <v>43642</v>
      </c>
      <c r="AJ1270" s="5" t="s">
        <v>3626</v>
      </c>
      <c r="AK1270" s="5" t="s">
        <v>3622</v>
      </c>
    </row>
    <row r="1271" spans="35:37">
      <c r="AI1271" s="468">
        <v>43643</v>
      </c>
      <c r="AJ1271" s="5" t="s">
        <v>3628</v>
      </c>
      <c r="AK1271" s="5" t="s">
        <v>3623</v>
      </c>
    </row>
    <row r="1272" spans="35:37">
      <c r="AI1272" s="468">
        <v>43644</v>
      </c>
      <c r="AJ1272" s="5" t="s">
        <v>3617</v>
      </c>
      <c r="AK1272" s="5" t="s">
        <v>3625</v>
      </c>
    </row>
    <row r="1273" spans="35:37">
      <c r="AI1273" s="468">
        <v>43645</v>
      </c>
      <c r="AJ1273" s="5" t="s">
        <v>3619</v>
      </c>
      <c r="AK1273" s="5" t="s">
        <v>3627</v>
      </c>
    </row>
    <row r="1274" spans="35:37">
      <c r="AI1274" s="468">
        <v>43646</v>
      </c>
      <c r="AJ1274" s="5" t="s">
        <v>3621</v>
      </c>
      <c r="AK1274" s="5" t="s">
        <v>3618</v>
      </c>
    </row>
    <row r="1275" spans="35:37">
      <c r="AI1275" s="468">
        <v>43647</v>
      </c>
      <c r="AJ1275" s="5" t="s">
        <v>3579</v>
      </c>
      <c r="AK1275" s="5" t="s">
        <v>3620</v>
      </c>
    </row>
    <row r="1276" spans="35:37">
      <c r="AI1276" s="468">
        <v>43648</v>
      </c>
      <c r="AJ1276" s="5" t="s">
        <v>3624</v>
      </c>
      <c r="AK1276" s="5" t="s">
        <v>3622</v>
      </c>
    </row>
    <row r="1277" spans="35:37">
      <c r="AI1277" s="468">
        <v>43649</v>
      </c>
      <c r="AJ1277" s="5" t="s">
        <v>3626</v>
      </c>
      <c r="AK1277" s="5" t="s">
        <v>3625</v>
      </c>
    </row>
    <row r="1278" spans="35:37">
      <c r="AI1278" s="468">
        <v>43650</v>
      </c>
      <c r="AJ1278" s="5" t="s">
        <v>3628</v>
      </c>
      <c r="AK1278" s="5" t="s">
        <v>3627</v>
      </c>
    </row>
    <row r="1279" spans="35:37">
      <c r="AI1279" s="468">
        <v>43651</v>
      </c>
      <c r="AJ1279" s="5" t="s">
        <v>3617</v>
      </c>
      <c r="AK1279" s="5" t="s">
        <v>3618</v>
      </c>
    </row>
    <row r="1280" spans="35:37">
      <c r="AI1280" s="468">
        <v>43652</v>
      </c>
      <c r="AJ1280" s="5" t="s">
        <v>3619</v>
      </c>
      <c r="AK1280" s="5" t="s">
        <v>3620</v>
      </c>
    </row>
    <row r="1281" spans="35:37">
      <c r="AI1281" s="468">
        <v>43653</v>
      </c>
      <c r="AJ1281" s="5" t="s">
        <v>3621</v>
      </c>
      <c r="AK1281" s="5" t="s">
        <v>3622</v>
      </c>
    </row>
    <row r="1282" spans="35:37">
      <c r="AI1282" s="468">
        <v>43654</v>
      </c>
      <c r="AJ1282" s="5" t="s">
        <v>3579</v>
      </c>
      <c r="AK1282" s="5" t="s">
        <v>3623</v>
      </c>
    </row>
    <row r="1283" spans="35:37">
      <c r="AI1283" s="468">
        <v>43655</v>
      </c>
      <c r="AJ1283" s="5" t="s">
        <v>3624</v>
      </c>
      <c r="AK1283" s="5" t="s">
        <v>3625</v>
      </c>
    </row>
    <row r="1284" spans="35:37">
      <c r="AI1284" s="468">
        <v>43656</v>
      </c>
      <c r="AJ1284" s="5" t="s">
        <v>3626</v>
      </c>
      <c r="AK1284" s="5" t="s">
        <v>3627</v>
      </c>
    </row>
    <row r="1285" spans="35:37">
      <c r="AI1285" s="468">
        <v>43657</v>
      </c>
      <c r="AJ1285" s="5" t="s">
        <v>3628</v>
      </c>
      <c r="AK1285" s="5" t="s">
        <v>3618</v>
      </c>
    </row>
    <row r="1286" spans="35:37">
      <c r="AI1286" s="468">
        <v>43658</v>
      </c>
      <c r="AJ1286" s="5" t="s">
        <v>3617</v>
      </c>
      <c r="AK1286" s="5" t="s">
        <v>3620</v>
      </c>
    </row>
    <row r="1287" spans="35:37">
      <c r="AI1287" s="468">
        <v>43659</v>
      </c>
      <c r="AJ1287" s="5" t="s">
        <v>3619</v>
      </c>
      <c r="AK1287" s="5" t="s">
        <v>3622</v>
      </c>
    </row>
    <row r="1288" spans="35:37">
      <c r="AI1288" s="468">
        <v>43660</v>
      </c>
      <c r="AJ1288" s="5" t="s">
        <v>3621</v>
      </c>
      <c r="AK1288" s="5" t="s">
        <v>3623</v>
      </c>
    </row>
    <row r="1289" spans="35:37">
      <c r="AI1289" s="468">
        <v>43661</v>
      </c>
      <c r="AJ1289" s="5" t="s">
        <v>3579</v>
      </c>
      <c r="AK1289" s="5" t="s">
        <v>3625</v>
      </c>
    </row>
    <row r="1290" spans="35:37">
      <c r="AI1290" s="468">
        <v>43662</v>
      </c>
      <c r="AJ1290" s="5" t="s">
        <v>3624</v>
      </c>
      <c r="AK1290" s="5" t="s">
        <v>3627</v>
      </c>
    </row>
    <row r="1291" spans="35:37">
      <c r="AI1291" s="468">
        <v>43663</v>
      </c>
      <c r="AJ1291" s="5" t="s">
        <v>3626</v>
      </c>
      <c r="AK1291" s="5" t="s">
        <v>3618</v>
      </c>
    </row>
    <row r="1292" spans="35:37">
      <c r="AI1292" s="468">
        <v>43664</v>
      </c>
      <c r="AJ1292" s="5" t="s">
        <v>3628</v>
      </c>
      <c r="AK1292" s="5" t="s">
        <v>3620</v>
      </c>
    </row>
    <row r="1293" spans="35:37">
      <c r="AI1293" s="468">
        <v>43665</v>
      </c>
      <c r="AJ1293" s="5" t="s">
        <v>3617</v>
      </c>
      <c r="AK1293" s="5" t="s">
        <v>3622</v>
      </c>
    </row>
    <row r="1294" spans="35:37">
      <c r="AI1294" s="468">
        <v>43666</v>
      </c>
      <c r="AJ1294" s="5" t="s">
        <v>3619</v>
      </c>
      <c r="AK1294" s="5" t="s">
        <v>3623</v>
      </c>
    </row>
    <row r="1295" spans="35:37">
      <c r="AI1295" s="468">
        <v>43667</v>
      </c>
      <c r="AJ1295" s="5" t="s">
        <v>3621</v>
      </c>
      <c r="AK1295" s="5" t="s">
        <v>3625</v>
      </c>
    </row>
    <row r="1296" spans="35:37">
      <c r="AI1296" s="468">
        <v>43668</v>
      </c>
      <c r="AJ1296" s="5" t="s">
        <v>3579</v>
      </c>
      <c r="AK1296" s="5" t="s">
        <v>3627</v>
      </c>
    </row>
    <row r="1297" spans="35:37">
      <c r="AI1297" s="468">
        <v>43669</v>
      </c>
      <c r="AJ1297" s="5" t="s">
        <v>3624</v>
      </c>
      <c r="AK1297" s="5" t="s">
        <v>3618</v>
      </c>
    </row>
    <row r="1298" spans="35:37">
      <c r="AI1298" s="468">
        <v>43670</v>
      </c>
      <c r="AJ1298" s="5" t="s">
        <v>3626</v>
      </c>
      <c r="AK1298" s="5" t="s">
        <v>3620</v>
      </c>
    </row>
    <row r="1299" spans="35:37">
      <c r="AI1299" s="468">
        <v>43671</v>
      </c>
      <c r="AJ1299" s="5" t="s">
        <v>3628</v>
      </c>
      <c r="AK1299" s="5" t="s">
        <v>3622</v>
      </c>
    </row>
    <row r="1300" spans="35:37">
      <c r="AI1300" s="468">
        <v>43672</v>
      </c>
      <c r="AJ1300" s="5" t="s">
        <v>3617</v>
      </c>
      <c r="AK1300" s="5" t="s">
        <v>3623</v>
      </c>
    </row>
    <row r="1301" spans="35:37">
      <c r="AI1301" s="468">
        <v>43673</v>
      </c>
      <c r="AJ1301" s="5" t="s">
        <v>3619</v>
      </c>
      <c r="AK1301" s="5" t="s">
        <v>3625</v>
      </c>
    </row>
    <row r="1302" spans="35:37">
      <c r="AI1302" s="468">
        <v>43674</v>
      </c>
      <c r="AJ1302" s="5" t="s">
        <v>3621</v>
      </c>
      <c r="AK1302" s="5" t="s">
        <v>3627</v>
      </c>
    </row>
    <row r="1303" spans="35:37">
      <c r="AI1303" s="468">
        <v>43675</v>
      </c>
      <c r="AJ1303" s="5" t="s">
        <v>3579</v>
      </c>
      <c r="AK1303" s="5" t="s">
        <v>3618</v>
      </c>
    </row>
    <row r="1304" spans="35:37">
      <c r="AI1304" s="468">
        <v>43676</v>
      </c>
      <c r="AJ1304" s="5" t="s">
        <v>3624</v>
      </c>
      <c r="AK1304" s="5" t="s">
        <v>3620</v>
      </c>
    </row>
    <row r="1305" spans="35:37">
      <c r="AI1305" s="468">
        <v>43677</v>
      </c>
      <c r="AJ1305" s="5" t="s">
        <v>3626</v>
      </c>
      <c r="AK1305" s="5" t="s">
        <v>3622</v>
      </c>
    </row>
    <row r="1306" spans="35:37">
      <c r="AI1306" s="468">
        <v>43678</v>
      </c>
      <c r="AJ1306" s="5" t="s">
        <v>3628</v>
      </c>
      <c r="AK1306" s="5" t="s">
        <v>3627</v>
      </c>
    </row>
    <row r="1307" spans="35:37">
      <c r="AI1307" s="468">
        <v>43679</v>
      </c>
      <c r="AJ1307" s="5" t="s">
        <v>3617</v>
      </c>
      <c r="AK1307" s="5" t="s">
        <v>3618</v>
      </c>
    </row>
    <row r="1308" spans="35:37">
      <c r="AI1308" s="468">
        <v>43680</v>
      </c>
      <c r="AJ1308" s="5" t="s">
        <v>3619</v>
      </c>
      <c r="AK1308" s="5" t="s">
        <v>3620</v>
      </c>
    </row>
    <row r="1309" spans="35:37">
      <c r="AI1309" s="468">
        <v>43681</v>
      </c>
      <c r="AJ1309" s="5" t="s">
        <v>3621</v>
      </c>
      <c r="AK1309" s="5" t="s">
        <v>3622</v>
      </c>
    </row>
    <row r="1310" spans="35:37">
      <c r="AI1310" s="468">
        <v>43682</v>
      </c>
      <c r="AJ1310" s="5" t="s">
        <v>3579</v>
      </c>
      <c r="AK1310" s="5" t="s">
        <v>3623</v>
      </c>
    </row>
    <row r="1311" spans="35:37">
      <c r="AI1311" s="468">
        <v>43683</v>
      </c>
      <c r="AJ1311" s="5" t="s">
        <v>3624</v>
      </c>
      <c r="AK1311" s="5" t="s">
        <v>3625</v>
      </c>
    </row>
    <row r="1312" spans="35:37">
      <c r="AI1312" s="468">
        <v>43684</v>
      </c>
      <c r="AJ1312" s="5" t="s">
        <v>3626</v>
      </c>
      <c r="AK1312" s="5" t="s">
        <v>3627</v>
      </c>
    </row>
    <row r="1313" spans="35:37">
      <c r="AI1313" s="468">
        <v>43685</v>
      </c>
      <c r="AJ1313" s="5" t="s">
        <v>3628</v>
      </c>
      <c r="AK1313" s="5" t="s">
        <v>3618</v>
      </c>
    </row>
    <row r="1314" spans="35:37">
      <c r="AI1314" s="468">
        <v>43686</v>
      </c>
      <c r="AJ1314" s="5" t="s">
        <v>3617</v>
      </c>
      <c r="AK1314" s="5" t="s">
        <v>3620</v>
      </c>
    </row>
    <row r="1315" spans="35:37">
      <c r="AI1315" s="468">
        <v>43687</v>
      </c>
      <c r="AJ1315" s="5" t="s">
        <v>3619</v>
      </c>
      <c r="AK1315" s="5" t="s">
        <v>3622</v>
      </c>
    </row>
    <row r="1316" spans="35:37">
      <c r="AI1316" s="468">
        <v>43688</v>
      </c>
      <c r="AJ1316" s="5" t="s">
        <v>3621</v>
      </c>
      <c r="AK1316" s="5" t="s">
        <v>3623</v>
      </c>
    </row>
    <row r="1317" spans="35:37">
      <c r="AI1317" s="468">
        <v>43689</v>
      </c>
      <c r="AJ1317" s="5" t="s">
        <v>3579</v>
      </c>
      <c r="AK1317" s="5" t="s">
        <v>3625</v>
      </c>
    </row>
    <row r="1318" spans="35:37">
      <c r="AI1318" s="468">
        <v>43690</v>
      </c>
      <c r="AJ1318" s="5" t="s">
        <v>3624</v>
      </c>
      <c r="AK1318" s="5" t="s">
        <v>3627</v>
      </c>
    </row>
    <row r="1319" spans="35:37">
      <c r="AI1319" s="468">
        <v>43691</v>
      </c>
      <c r="AJ1319" s="5" t="s">
        <v>3626</v>
      </c>
      <c r="AK1319" s="5" t="s">
        <v>3618</v>
      </c>
    </row>
    <row r="1320" spans="35:37">
      <c r="AI1320" s="468">
        <v>43692</v>
      </c>
      <c r="AJ1320" s="5" t="s">
        <v>3628</v>
      </c>
      <c r="AK1320" s="5" t="s">
        <v>3620</v>
      </c>
    </row>
    <row r="1321" spans="35:37">
      <c r="AI1321" s="468">
        <v>43693</v>
      </c>
      <c r="AJ1321" s="5" t="s">
        <v>3617</v>
      </c>
      <c r="AK1321" s="5" t="s">
        <v>3622</v>
      </c>
    </row>
    <row r="1322" spans="35:37">
      <c r="AI1322" s="468">
        <v>43694</v>
      </c>
      <c r="AJ1322" s="5" t="s">
        <v>3619</v>
      </c>
      <c r="AK1322" s="5" t="s">
        <v>3623</v>
      </c>
    </row>
    <row r="1323" spans="35:37">
      <c r="AI1323" s="468">
        <v>43695</v>
      </c>
      <c r="AJ1323" s="5" t="s">
        <v>3621</v>
      </c>
      <c r="AK1323" s="5" t="s">
        <v>3625</v>
      </c>
    </row>
    <row r="1324" spans="35:37">
      <c r="AI1324" s="468">
        <v>43696</v>
      </c>
      <c r="AJ1324" s="5" t="s">
        <v>3579</v>
      </c>
      <c r="AK1324" s="5" t="s">
        <v>3627</v>
      </c>
    </row>
    <row r="1325" spans="35:37">
      <c r="AI1325" s="468">
        <v>43697</v>
      </c>
      <c r="AJ1325" s="5" t="s">
        <v>3624</v>
      </c>
      <c r="AK1325" s="5" t="s">
        <v>3618</v>
      </c>
    </row>
    <row r="1326" spans="35:37">
      <c r="AI1326" s="468">
        <v>43698</v>
      </c>
      <c r="AJ1326" s="5" t="s">
        <v>3626</v>
      </c>
      <c r="AK1326" s="5" t="s">
        <v>3620</v>
      </c>
    </row>
    <row r="1327" spans="35:37">
      <c r="AI1327" s="468">
        <v>43699</v>
      </c>
      <c r="AJ1327" s="5" t="s">
        <v>3628</v>
      </c>
      <c r="AK1327" s="5" t="s">
        <v>3622</v>
      </c>
    </row>
    <row r="1328" spans="35:37">
      <c r="AI1328" s="468">
        <v>43700</v>
      </c>
      <c r="AJ1328" s="5" t="s">
        <v>3617</v>
      </c>
      <c r="AK1328" s="5" t="s">
        <v>3623</v>
      </c>
    </row>
    <row r="1329" spans="35:37">
      <c r="AI1329" s="468">
        <v>43701</v>
      </c>
      <c r="AJ1329" s="5" t="s">
        <v>3619</v>
      </c>
      <c r="AK1329" s="5" t="s">
        <v>3625</v>
      </c>
    </row>
    <row r="1330" spans="35:37">
      <c r="AI1330" s="468">
        <v>43702</v>
      </c>
      <c r="AJ1330" s="5" t="s">
        <v>3621</v>
      </c>
      <c r="AK1330" s="5" t="s">
        <v>3627</v>
      </c>
    </row>
    <row r="1331" spans="35:37">
      <c r="AI1331" s="468">
        <v>43703</v>
      </c>
      <c r="AJ1331" s="5" t="s">
        <v>3579</v>
      </c>
      <c r="AK1331" s="5" t="s">
        <v>3618</v>
      </c>
    </row>
    <row r="1332" spans="35:37">
      <c r="AI1332" s="468">
        <v>43704</v>
      </c>
      <c r="AJ1332" s="5" t="s">
        <v>3624</v>
      </c>
      <c r="AK1332" s="5" t="s">
        <v>3620</v>
      </c>
    </row>
    <row r="1333" spans="35:37">
      <c r="AI1333" s="468">
        <v>43705</v>
      </c>
      <c r="AJ1333" s="5" t="s">
        <v>3626</v>
      </c>
      <c r="AK1333" s="5" t="s">
        <v>3622</v>
      </c>
    </row>
    <row r="1334" spans="35:37">
      <c r="AI1334" s="468">
        <v>43706</v>
      </c>
      <c r="AJ1334" s="5" t="s">
        <v>3628</v>
      </c>
      <c r="AK1334" s="5" t="s">
        <v>3623</v>
      </c>
    </row>
    <row r="1335" spans="35:37">
      <c r="AI1335" s="468">
        <v>43707</v>
      </c>
      <c r="AJ1335" s="5" t="s">
        <v>3617</v>
      </c>
      <c r="AK1335" s="5" t="s">
        <v>3618</v>
      </c>
    </row>
    <row r="1336" spans="35:37">
      <c r="AI1336" s="468">
        <v>43708</v>
      </c>
      <c r="AJ1336" s="5" t="s">
        <v>3619</v>
      </c>
      <c r="AK1336" s="5" t="s">
        <v>3620</v>
      </c>
    </row>
    <row r="1337" spans="35:37">
      <c r="AI1337" s="468">
        <v>43709</v>
      </c>
      <c r="AJ1337" s="5" t="s">
        <v>3621</v>
      </c>
      <c r="AK1337" s="5" t="s">
        <v>3622</v>
      </c>
    </row>
    <row r="1338" spans="35:37">
      <c r="AI1338" s="468">
        <v>43710</v>
      </c>
      <c r="AJ1338" s="5" t="s">
        <v>3579</v>
      </c>
      <c r="AK1338" s="5" t="s">
        <v>3623</v>
      </c>
    </row>
    <row r="1339" spans="35:37">
      <c r="AI1339" s="468">
        <v>43711</v>
      </c>
      <c r="AJ1339" s="5" t="s">
        <v>3624</v>
      </c>
      <c r="AK1339" s="5" t="s">
        <v>3625</v>
      </c>
    </row>
    <row r="1340" spans="35:37">
      <c r="AI1340" s="468">
        <v>43712</v>
      </c>
      <c r="AJ1340" s="5" t="s">
        <v>3626</v>
      </c>
      <c r="AK1340" s="5" t="s">
        <v>3627</v>
      </c>
    </row>
    <row r="1341" spans="35:37">
      <c r="AI1341" s="468">
        <v>43713</v>
      </c>
      <c r="AJ1341" s="5" t="s">
        <v>3628</v>
      </c>
      <c r="AK1341" s="5" t="s">
        <v>3618</v>
      </c>
    </row>
    <row r="1342" spans="35:37">
      <c r="AI1342" s="468">
        <v>43714</v>
      </c>
      <c r="AJ1342" s="5" t="s">
        <v>3617</v>
      </c>
      <c r="AK1342" s="5" t="s">
        <v>3620</v>
      </c>
    </row>
    <row r="1343" spans="35:37">
      <c r="AI1343" s="468">
        <v>43715</v>
      </c>
      <c r="AJ1343" s="5" t="s">
        <v>3619</v>
      </c>
      <c r="AK1343" s="5" t="s">
        <v>3622</v>
      </c>
    </row>
    <row r="1344" spans="35:37">
      <c r="AI1344" s="468">
        <v>43716</v>
      </c>
      <c r="AJ1344" s="5" t="s">
        <v>3621</v>
      </c>
      <c r="AK1344" s="5" t="s">
        <v>3623</v>
      </c>
    </row>
    <row r="1345" spans="35:37">
      <c r="AI1345" s="468">
        <v>43717</v>
      </c>
      <c r="AJ1345" s="5" t="s">
        <v>3579</v>
      </c>
      <c r="AK1345" s="5" t="s">
        <v>3625</v>
      </c>
    </row>
    <row r="1346" spans="35:37">
      <c r="AI1346" s="468">
        <v>43718</v>
      </c>
      <c r="AJ1346" s="5" t="s">
        <v>3624</v>
      </c>
      <c r="AK1346" s="5" t="s">
        <v>3627</v>
      </c>
    </row>
    <row r="1347" spans="35:37">
      <c r="AI1347" s="468">
        <v>43719</v>
      </c>
      <c r="AJ1347" s="5" t="s">
        <v>3626</v>
      </c>
      <c r="AK1347" s="5" t="s">
        <v>3618</v>
      </c>
    </row>
    <row r="1348" spans="35:37">
      <c r="AI1348" s="468">
        <v>43720</v>
      </c>
      <c r="AJ1348" s="5" t="s">
        <v>3628</v>
      </c>
      <c r="AK1348" s="5" t="s">
        <v>3620</v>
      </c>
    </row>
    <row r="1349" spans="35:37">
      <c r="AI1349" s="468">
        <v>43721</v>
      </c>
      <c r="AJ1349" s="5" t="s">
        <v>3617</v>
      </c>
      <c r="AK1349" s="5" t="s">
        <v>3622</v>
      </c>
    </row>
    <row r="1350" spans="35:37">
      <c r="AI1350" s="468">
        <v>43722</v>
      </c>
      <c r="AJ1350" s="5" t="s">
        <v>3619</v>
      </c>
      <c r="AK1350" s="5" t="s">
        <v>3623</v>
      </c>
    </row>
    <row r="1351" spans="35:37">
      <c r="AI1351" s="468">
        <v>43723</v>
      </c>
      <c r="AJ1351" s="5" t="s">
        <v>3621</v>
      </c>
      <c r="AK1351" s="5" t="s">
        <v>3625</v>
      </c>
    </row>
    <row r="1352" spans="35:37">
      <c r="AI1352" s="468">
        <v>43724</v>
      </c>
      <c r="AJ1352" s="5" t="s">
        <v>3579</v>
      </c>
      <c r="AK1352" s="5" t="s">
        <v>3627</v>
      </c>
    </row>
    <row r="1353" spans="35:37">
      <c r="AI1353" s="468">
        <v>43725</v>
      </c>
      <c r="AJ1353" s="5" t="s">
        <v>3624</v>
      </c>
      <c r="AK1353" s="5" t="s">
        <v>3618</v>
      </c>
    </row>
    <row r="1354" spans="35:37">
      <c r="AI1354" s="468">
        <v>43726</v>
      </c>
      <c r="AJ1354" s="5" t="s">
        <v>3626</v>
      </c>
      <c r="AK1354" s="5" t="s">
        <v>3620</v>
      </c>
    </row>
    <row r="1355" spans="35:37">
      <c r="AI1355" s="468">
        <v>43727</v>
      </c>
      <c r="AJ1355" s="5" t="s">
        <v>3628</v>
      </c>
      <c r="AK1355" s="5" t="s">
        <v>3622</v>
      </c>
    </row>
    <row r="1356" spans="35:37">
      <c r="AI1356" s="468">
        <v>43728</v>
      </c>
      <c r="AJ1356" s="5" t="s">
        <v>3617</v>
      </c>
      <c r="AK1356" s="5" t="s">
        <v>3623</v>
      </c>
    </row>
    <row r="1357" spans="35:37">
      <c r="AI1357" s="468">
        <v>43729</v>
      </c>
      <c r="AJ1357" s="5" t="s">
        <v>3619</v>
      </c>
      <c r="AK1357" s="5" t="s">
        <v>3625</v>
      </c>
    </row>
    <row r="1358" spans="35:37">
      <c r="AI1358" s="468">
        <v>43730</v>
      </c>
      <c r="AJ1358" s="5" t="s">
        <v>3621</v>
      </c>
      <c r="AK1358" s="5" t="s">
        <v>3627</v>
      </c>
    </row>
    <row r="1359" spans="35:37">
      <c r="AI1359" s="468">
        <v>43731</v>
      </c>
      <c r="AJ1359" s="5" t="s">
        <v>3579</v>
      </c>
      <c r="AK1359" s="5" t="s">
        <v>3618</v>
      </c>
    </row>
    <row r="1360" spans="35:37">
      <c r="AI1360" s="468">
        <v>43732</v>
      </c>
      <c r="AJ1360" s="5" t="s">
        <v>3624</v>
      </c>
      <c r="AK1360" s="5" t="s">
        <v>3620</v>
      </c>
    </row>
    <row r="1361" spans="35:37">
      <c r="AI1361" s="468">
        <v>43733</v>
      </c>
      <c r="AJ1361" s="5" t="s">
        <v>3626</v>
      </c>
      <c r="AK1361" s="5" t="s">
        <v>3622</v>
      </c>
    </row>
    <row r="1362" spans="35:37">
      <c r="AI1362" s="468">
        <v>43734</v>
      </c>
      <c r="AJ1362" s="5" t="s">
        <v>3628</v>
      </c>
      <c r="AK1362" s="5" t="s">
        <v>3623</v>
      </c>
    </row>
    <row r="1363" spans="35:37">
      <c r="AI1363" s="468">
        <v>43735</v>
      </c>
      <c r="AJ1363" s="5" t="s">
        <v>3617</v>
      </c>
      <c r="AK1363" s="5" t="s">
        <v>3625</v>
      </c>
    </row>
    <row r="1364" spans="35:37">
      <c r="AI1364" s="468">
        <v>43736</v>
      </c>
      <c r="AJ1364" s="5" t="s">
        <v>3619</v>
      </c>
      <c r="AK1364" s="5" t="s">
        <v>3627</v>
      </c>
    </row>
    <row r="1365" spans="35:37">
      <c r="AI1365" s="468">
        <v>43737</v>
      </c>
      <c r="AJ1365" s="5" t="s">
        <v>3621</v>
      </c>
      <c r="AK1365" s="5" t="s">
        <v>3620</v>
      </c>
    </row>
    <row r="1366" spans="35:37">
      <c r="AI1366" s="468">
        <v>43738</v>
      </c>
      <c r="AJ1366" s="5" t="s">
        <v>3579</v>
      </c>
      <c r="AK1366" s="5" t="s">
        <v>3622</v>
      </c>
    </row>
    <row r="1367" spans="35:37">
      <c r="AI1367" s="468">
        <v>43739</v>
      </c>
      <c r="AJ1367" s="5" t="s">
        <v>3624</v>
      </c>
      <c r="AK1367" s="5" t="s">
        <v>3623</v>
      </c>
    </row>
    <row r="1368" spans="35:37">
      <c r="AI1368" s="468">
        <v>43740</v>
      </c>
      <c r="AJ1368" s="5" t="s">
        <v>3626</v>
      </c>
      <c r="AK1368" s="5" t="s">
        <v>3625</v>
      </c>
    </row>
    <row r="1369" spans="35:37">
      <c r="AI1369" s="468">
        <v>43741</v>
      </c>
      <c r="AJ1369" s="5" t="s">
        <v>3628</v>
      </c>
      <c r="AK1369" s="5" t="s">
        <v>3627</v>
      </c>
    </row>
    <row r="1370" spans="35:37">
      <c r="AI1370" s="468">
        <v>43742</v>
      </c>
      <c r="AJ1370" s="5" t="s">
        <v>3617</v>
      </c>
      <c r="AK1370" s="5" t="s">
        <v>3618</v>
      </c>
    </row>
    <row r="1371" spans="35:37">
      <c r="AI1371" s="468">
        <v>43743</v>
      </c>
      <c r="AJ1371" s="5" t="s">
        <v>3619</v>
      </c>
      <c r="AK1371" s="5" t="s">
        <v>3620</v>
      </c>
    </row>
    <row r="1372" spans="35:37">
      <c r="AI1372" s="468">
        <v>43744</v>
      </c>
      <c r="AJ1372" s="5" t="s">
        <v>3621</v>
      </c>
      <c r="AK1372" s="5" t="s">
        <v>3622</v>
      </c>
    </row>
    <row r="1373" spans="35:37">
      <c r="AI1373" s="468">
        <v>43745</v>
      </c>
      <c r="AJ1373" s="5" t="s">
        <v>3579</v>
      </c>
      <c r="AK1373" s="5" t="s">
        <v>3623</v>
      </c>
    </row>
    <row r="1374" spans="35:37">
      <c r="AI1374" s="468">
        <v>43746</v>
      </c>
      <c r="AJ1374" s="5" t="s">
        <v>3624</v>
      </c>
      <c r="AK1374" s="5" t="s">
        <v>3625</v>
      </c>
    </row>
    <row r="1375" spans="35:37">
      <c r="AI1375" s="468">
        <v>43747</v>
      </c>
      <c r="AJ1375" s="5" t="s">
        <v>3626</v>
      </c>
      <c r="AK1375" s="5" t="s">
        <v>3627</v>
      </c>
    </row>
    <row r="1376" spans="35:37">
      <c r="AI1376" s="468">
        <v>43748</v>
      </c>
      <c r="AJ1376" s="5" t="s">
        <v>3628</v>
      </c>
      <c r="AK1376" s="5" t="s">
        <v>3618</v>
      </c>
    </row>
    <row r="1377" spans="35:37">
      <c r="AI1377" s="468">
        <v>43749</v>
      </c>
      <c r="AJ1377" s="5" t="s">
        <v>3617</v>
      </c>
      <c r="AK1377" s="5" t="s">
        <v>3620</v>
      </c>
    </row>
    <row r="1378" spans="35:37">
      <c r="AI1378" s="468">
        <v>43750</v>
      </c>
      <c r="AJ1378" s="5" t="s">
        <v>3619</v>
      </c>
      <c r="AK1378" s="5" t="s">
        <v>3622</v>
      </c>
    </row>
    <row r="1379" spans="35:37">
      <c r="AI1379" s="468">
        <v>43751</v>
      </c>
      <c r="AJ1379" s="5" t="s">
        <v>3621</v>
      </c>
      <c r="AK1379" s="5" t="s">
        <v>3623</v>
      </c>
    </row>
    <row r="1380" spans="35:37">
      <c r="AI1380" s="468">
        <v>43752</v>
      </c>
      <c r="AJ1380" s="5" t="s">
        <v>3579</v>
      </c>
      <c r="AK1380" s="5" t="s">
        <v>3625</v>
      </c>
    </row>
    <row r="1381" spans="35:37">
      <c r="AI1381" s="468">
        <v>43753</v>
      </c>
      <c r="AJ1381" s="5" t="s">
        <v>3624</v>
      </c>
      <c r="AK1381" s="5" t="s">
        <v>3627</v>
      </c>
    </row>
    <row r="1382" spans="35:37">
      <c r="AI1382" s="468">
        <v>43754</v>
      </c>
      <c r="AJ1382" s="5" t="s">
        <v>3626</v>
      </c>
      <c r="AK1382" s="5" t="s">
        <v>3618</v>
      </c>
    </row>
    <row r="1383" spans="35:37">
      <c r="AI1383" s="468">
        <v>43755</v>
      </c>
      <c r="AJ1383" s="5" t="s">
        <v>3628</v>
      </c>
      <c r="AK1383" s="5" t="s">
        <v>3620</v>
      </c>
    </row>
    <row r="1384" spans="35:37">
      <c r="AI1384" s="468">
        <v>43756</v>
      </c>
      <c r="AJ1384" s="5" t="s">
        <v>3617</v>
      </c>
      <c r="AK1384" s="5" t="s">
        <v>3622</v>
      </c>
    </row>
    <row r="1385" spans="35:37">
      <c r="AI1385" s="468">
        <v>43757</v>
      </c>
      <c r="AJ1385" s="5" t="s">
        <v>3619</v>
      </c>
      <c r="AK1385" s="5" t="s">
        <v>3623</v>
      </c>
    </row>
    <row r="1386" spans="35:37">
      <c r="AI1386" s="468">
        <v>43758</v>
      </c>
      <c r="AJ1386" s="5" t="s">
        <v>3621</v>
      </c>
      <c r="AK1386" s="5" t="s">
        <v>3625</v>
      </c>
    </row>
    <row r="1387" spans="35:37">
      <c r="AI1387" s="468">
        <v>43759</v>
      </c>
      <c r="AJ1387" s="5" t="s">
        <v>3579</v>
      </c>
      <c r="AK1387" s="5" t="s">
        <v>3627</v>
      </c>
    </row>
    <row r="1388" spans="35:37">
      <c r="AI1388" s="468">
        <v>43760</v>
      </c>
      <c r="AJ1388" s="5" t="s">
        <v>3624</v>
      </c>
      <c r="AK1388" s="5" t="s">
        <v>3618</v>
      </c>
    </row>
    <row r="1389" spans="35:37">
      <c r="AI1389" s="468">
        <v>43761</v>
      </c>
      <c r="AJ1389" s="5" t="s">
        <v>3626</v>
      </c>
      <c r="AK1389" s="5" t="s">
        <v>3620</v>
      </c>
    </row>
    <row r="1390" spans="35:37">
      <c r="AI1390" s="468">
        <v>43762</v>
      </c>
      <c r="AJ1390" s="5" t="s">
        <v>3628</v>
      </c>
      <c r="AK1390" s="5" t="s">
        <v>3622</v>
      </c>
    </row>
    <row r="1391" spans="35:37">
      <c r="AI1391" s="468">
        <v>43763</v>
      </c>
      <c r="AJ1391" s="5" t="s">
        <v>3617</v>
      </c>
      <c r="AK1391" s="5" t="s">
        <v>3623</v>
      </c>
    </row>
    <row r="1392" spans="35:37">
      <c r="AI1392" s="468">
        <v>43764</v>
      </c>
      <c r="AJ1392" s="5" t="s">
        <v>3619</v>
      </c>
      <c r="AK1392" s="5" t="s">
        <v>3625</v>
      </c>
    </row>
    <row r="1393" spans="35:37">
      <c r="AI1393" s="468">
        <v>43765</v>
      </c>
      <c r="AJ1393" s="5" t="s">
        <v>3621</v>
      </c>
      <c r="AK1393" s="5" t="s">
        <v>3627</v>
      </c>
    </row>
    <row r="1394" spans="35:37">
      <c r="AI1394" s="468">
        <v>43766</v>
      </c>
      <c r="AJ1394" s="5" t="s">
        <v>3579</v>
      </c>
      <c r="AK1394" s="5" t="s">
        <v>3622</v>
      </c>
    </row>
    <row r="1395" spans="35:37">
      <c r="AI1395" s="468">
        <v>43767</v>
      </c>
      <c r="AJ1395" s="5" t="s">
        <v>3624</v>
      </c>
      <c r="AK1395" s="5" t="s">
        <v>3623</v>
      </c>
    </row>
    <row r="1396" spans="35:37">
      <c r="AI1396" s="468">
        <v>43768</v>
      </c>
      <c r="AJ1396" s="5" t="s">
        <v>3626</v>
      </c>
      <c r="AK1396" s="5" t="s">
        <v>3625</v>
      </c>
    </row>
    <row r="1397" spans="35:37">
      <c r="AI1397" s="468">
        <v>43769</v>
      </c>
      <c r="AJ1397" s="5" t="s">
        <v>3628</v>
      </c>
      <c r="AK1397" s="5" t="s">
        <v>3627</v>
      </c>
    </row>
    <row r="1398" spans="35:37">
      <c r="AI1398" s="468">
        <v>43770</v>
      </c>
      <c r="AJ1398" s="5" t="s">
        <v>3617</v>
      </c>
      <c r="AK1398" s="5" t="s">
        <v>3618</v>
      </c>
    </row>
    <row r="1399" spans="35:37">
      <c r="AI1399" s="468">
        <v>43771</v>
      </c>
      <c r="AJ1399" s="5" t="s">
        <v>3619</v>
      </c>
      <c r="AK1399" s="5" t="s">
        <v>3620</v>
      </c>
    </row>
    <row r="1400" spans="35:37">
      <c r="AI1400" s="468">
        <v>43772</v>
      </c>
      <c r="AJ1400" s="5" t="s">
        <v>3621</v>
      </c>
      <c r="AK1400" s="5" t="s">
        <v>3622</v>
      </c>
    </row>
    <row r="1401" spans="35:37">
      <c r="AI1401" s="468">
        <v>43773</v>
      </c>
      <c r="AJ1401" s="5" t="s">
        <v>3579</v>
      </c>
      <c r="AK1401" s="5" t="s">
        <v>3623</v>
      </c>
    </row>
    <row r="1402" spans="35:37">
      <c r="AI1402" s="468">
        <v>43774</v>
      </c>
      <c r="AJ1402" s="5" t="s">
        <v>3624</v>
      </c>
      <c r="AK1402" s="5" t="s">
        <v>3625</v>
      </c>
    </row>
    <row r="1403" spans="35:37">
      <c r="AI1403" s="468">
        <v>43775</v>
      </c>
      <c r="AJ1403" s="5" t="s">
        <v>3626</v>
      </c>
      <c r="AK1403" s="5" t="s">
        <v>3627</v>
      </c>
    </row>
    <row r="1404" spans="35:37">
      <c r="AI1404" s="468">
        <v>43776</v>
      </c>
      <c r="AJ1404" s="5" t="s">
        <v>3628</v>
      </c>
      <c r="AK1404" s="5" t="s">
        <v>3618</v>
      </c>
    </row>
    <row r="1405" spans="35:37">
      <c r="AI1405" s="468">
        <v>43777</v>
      </c>
      <c r="AJ1405" s="5" t="s">
        <v>3617</v>
      </c>
      <c r="AK1405" s="5" t="s">
        <v>3620</v>
      </c>
    </row>
    <row r="1406" spans="35:37">
      <c r="AI1406" s="468">
        <v>43778</v>
      </c>
      <c r="AJ1406" s="5" t="s">
        <v>3619</v>
      </c>
      <c r="AK1406" s="5" t="s">
        <v>3622</v>
      </c>
    </row>
    <row r="1407" spans="35:37">
      <c r="AI1407" s="468">
        <v>43779</v>
      </c>
      <c r="AJ1407" s="5" t="s">
        <v>3621</v>
      </c>
      <c r="AK1407" s="5" t="s">
        <v>3623</v>
      </c>
    </row>
    <row r="1408" spans="35:37">
      <c r="AI1408" s="468">
        <v>43780</v>
      </c>
      <c r="AJ1408" s="5" t="s">
        <v>3579</v>
      </c>
      <c r="AK1408" s="5" t="s">
        <v>3625</v>
      </c>
    </row>
    <row r="1409" spans="35:37">
      <c r="AI1409" s="468">
        <v>43781</v>
      </c>
      <c r="AJ1409" s="5" t="s">
        <v>3624</v>
      </c>
      <c r="AK1409" s="5" t="s">
        <v>3627</v>
      </c>
    </row>
    <row r="1410" spans="35:37">
      <c r="AI1410" s="468">
        <v>43782</v>
      </c>
      <c r="AJ1410" s="5" t="s">
        <v>3626</v>
      </c>
      <c r="AK1410" s="5" t="s">
        <v>3618</v>
      </c>
    </row>
    <row r="1411" spans="35:37">
      <c r="AI1411" s="468">
        <v>43783</v>
      </c>
      <c r="AJ1411" s="5" t="s">
        <v>3628</v>
      </c>
      <c r="AK1411" s="5" t="s">
        <v>3620</v>
      </c>
    </row>
    <row r="1412" spans="35:37">
      <c r="AI1412" s="468">
        <v>43784</v>
      </c>
      <c r="AJ1412" s="5" t="s">
        <v>3617</v>
      </c>
      <c r="AK1412" s="5" t="s">
        <v>3622</v>
      </c>
    </row>
    <row r="1413" spans="35:37">
      <c r="AI1413" s="468">
        <v>43785</v>
      </c>
      <c r="AJ1413" s="5" t="s">
        <v>3619</v>
      </c>
      <c r="AK1413" s="5" t="s">
        <v>3623</v>
      </c>
    </row>
    <row r="1414" spans="35:37">
      <c r="AI1414" s="468">
        <v>43786</v>
      </c>
      <c r="AJ1414" s="5" t="s">
        <v>3621</v>
      </c>
      <c r="AK1414" s="5" t="s">
        <v>3625</v>
      </c>
    </row>
    <row r="1415" spans="35:37">
      <c r="AI1415" s="468">
        <v>43787</v>
      </c>
      <c r="AJ1415" s="5" t="s">
        <v>3579</v>
      </c>
      <c r="AK1415" s="5" t="s">
        <v>3627</v>
      </c>
    </row>
    <row r="1416" spans="35:37">
      <c r="AI1416" s="468">
        <v>43788</v>
      </c>
      <c r="AJ1416" s="5" t="s">
        <v>3624</v>
      </c>
      <c r="AK1416" s="5" t="s">
        <v>3618</v>
      </c>
    </row>
    <row r="1417" spans="35:37">
      <c r="AI1417" s="468">
        <v>43789</v>
      </c>
      <c r="AJ1417" s="5" t="s">
        <v>3626</v>
      </c>
      <c r="AK1417" s="5" t="s">
        <v>3620</v>
      </c>
    </row>
    <row r="1418" spans="35:37">
      <c r="AI1418" s="468">
        <v>43790</v>
      </c>
      <c r="AJ1418" s="5" t="s">
        <v>3628</v>
      </c>
      <c r="AK1418" s="5" t="s">
        <v>3622</v>
      </c>
    </row>
    <row r="1419" spans="35:37">
      <c r="AI1419" s="468">
        <v>43791</v>
      </c>
      <c r="AJ1419" s="5" t="s">
        <v>3617</v>
      </c>
      <c r="AK1419" s="5" t="s">
        <v>3623</v>
      </c>
    </row>
    <row r="1420" spans="35:37">
      <c r="AI1420" s="468">
        <v>43792</v>
      </c>
      <c r="AJ1420" s="5" t="s">
        <v>3619</v>
      </c>
      <c r="AK1420" s="5" t="s">
        <v>3625</v>
      </c>
    </row>
    <row r="1421" spans="35:37">
      <c r="AI1421" s="468">
        <v>43793</v>
      </c>
      <c r="AJ1421" s="5" t="s">
        <v>3621</v>
      </c>
      <c r="AK1421" s="5" t="s">
        <v>3627</v>
      </c>
    </row>
    <row r="1422" spans="35:37">
      <c r="AI1422" s="468">
        <v>43794</v>
      </c>
      <c r="AJ1422" s="5" t="s">
        <v>3579</v>
      </c>
      <c r="AK1422" s="5" t="s">
        <v>3618</v>
      </c>
    </row>
    <row r="1423" spans="35:37">
      <c r="AI1423" s="468">
        <v>43795</v>
      </c>
      <c r="AJ1423" s="5" t="s">
        <v>3624</v>
      </c>
      <c r="AK1423" s="5" t="s">
        <v>3620</v>
      </c>
    </row>
    <row r="1424" spans="35:37">
      <c r="AI1424" s="468">
        <v>43796</v>
      </c>
      <c r="AJ1424" s="5" t="s">
        <v>3626</v>
      </c>
      <c r="AK1424" s="5" t="s">
        <v>3623</v>
      </c>
    </row>
    <row r="1425" spans="35:37">
      <c r="AI1425" s="468">
        <v>43797</v>
      </c>
      <c r="AJ1425" s="5" t="s">
        <v>3628</v>
      </c>
      <c r="AK1425" s="5" t="s">
        <v>3625</v>
      </c>
    </row>
    <row r="1426" spans="35:37">
      <c r="AI1426" s="468">
        <v>43798</v>
      </c>
      <c r="AJ1426" s="5" t="s">
        <v>3617</v>
      </c>
      <c r="AK1426" s="5" t="s">
        <v>3627</v>
      </c>
    </row>
    <row r="1427" spans="35:37">
      <c r="AI1427" s="468">
        <v>43799</v>
      </c>
      <c r="AJ1427" s="5" t="s">
        <v>3619</v>
      </c>
      <c r="AK1427" s="5" t="s">
        <v>3618</v>
      </c>
    </row>
    <row r="1428" spans="35:37">
      <c r="AI1428" s="468">
        <v>43800</v>
      </c>
      <c r="AJ1428" s="5" t="s">
        <v>3621</v>
      </c>
      <c r="AK1428" s="5" t="s">
        <v>3620</v>
      </c>
    </row>
    <row r="1429" spans="35:37">
      <c r="AI1429" s="468">
        <v>43801</v>
      </c>
      <c r="AJ1429" s="5" t="s">
        <v>3579</v>
      </c>
      <c r="AK1429" s="5" t="s">
        <v>3622</v>
      </c>
    </row>
    <row r="1430" spans="35:37">
      <c r="AI1430" s="468">
        <v>43802</v>
      </c>
      <c r="AJ1430" s="5" t="s">
        <v>3624</v>
      </c>
      <c r="AK1430" s="5" t="s">
        <v>3623</v>
      </c>
    </row>
    <row r="1431" spans="35:37">
      <c r="AI1431" s="468">
        <v>43803</v>
      </c>
      <c r="AJ1431" s="5" t="s">
        <v>3626</v>
      </c>
      <c r="AK1431" s="5" t="s">
        <v>3625</v>
      </c>
    </row>
    <row r="1432" spans="35:37">
      <c r="AI1432" s="468">
        <v>43804</v>
      </c>
      <c r="AJ1432" s="5" t="s">
        <v>3628</v>
      </c>
      <c r="AK1432" s="5" t="s">
        <v>3627</v>
      </c>
    </row>
    <row r="1433" spans="35:37">
      <c r="AI1433" s="468">
        <v>43805</v>
      </c>
      <c r="AJ1433" s="5" t="s">
        <v>3617</v>
      </c>
      <c r="AK1433" s="5" t="s">
        <v>3618</v>
      </c>
    </row>
    <row r="1434" spans="35:37">
      <c r="AI1434" s="468">
        <v>43806</v>
      </c>
      <c r="AJ1434" s="5" t="s">
        <v>3619</v>
      </c>
      <c r="AK1434" s="5" t="s">
        <v>3620</v>
      </c>
    </row>
    <row r="1435" spans="35:37">
      <c r="AI1435" s="468">
        <v>43807</v>
      </c>
      <c r="AJ1435" s="5" t="s">
        <v>3621</v>
      </c>
      <c r="AK1435" s="5" t="s">
        <v>3622</v>
      </c>
    </row>
    <row r="1436" spans="35:37">
      <c r="AI1436" s="468">
        <v>43808</v>
      </c>
      <c r="AJ1436" s="5" t="s">
        <v>3579</v>
      </c>
      <c r="AK1436" s="5" t="s">
        <v>3623</v>
      </c>
    </row>
    <row r="1437" spans="35:37">
      <c r="AI1437" s="468">
        <v>43809</v>
      </c>
      <c r="AJ1437" s="5" t="s">
        <v>3624</v>
      </c>
      <c r="AK1437" s="5" t="s">
        <v>3625</v>
      </c>
    </row>
    <row r="1438" spans="35:37">
      <c r="AI1438" s="468">
        <v>43810</v>
      </c>
      <c r="AJ1438" s="5" t="s">
        <v>3626</v>
      </c>
      <c r="AK1438" s="5" t="s">
        <v>3627</v>
      </c>
    </row>
    <row r="1439" spans="35:37">
      <c r="AI1439" s="468">
        <v>43811</v>
      </c>
      <c r="AJ1439" s="5" t="s">
        <v>3628</v>
      </c>
      <c r="AK1439" s="5" t="s">
        <v>3618</v>
      </c>
    </row>
    <row r="1440" spans="35:37">
      <c r="AI1440" s="468">
        <v>43812</v>
      </c>
      <c r="AJ1440" s="5" t="s">
        <v>3617</v>
      </c>
      <c r="AK1440" s="5" t="s">
        <v>3620</v>
      </c>
    </row>
    <row r="1441" spans="35:37">
      <c r="AI1441" s="468">
        <v>43813</v>
      </c>
      <c r="AJ1441" s="5" t="s">
        <v>3619</v>
      </c>
      <c r="AK1441" s="5" t="s">
        <v>3622</v>
      </c>
    </row>
    <row r="1442" spans="35:37">
      <c r="AI1442" s="468">
        <v>43814</v>
      </c>
      <c r="AJ1442" s="5" t="s">
        <v>3621</v>
      </c>
      <c r="AK1442" s="5" t="s">
        <v>3623</v>
      </c>
    </row>
    <row r="1443" spans="35:37">
      <c r="AI1443" s="468">
        <v>43815</v>
      </c>
      <c r="AJ1443" s="5" t="s">
        <v>3579</v>
      </c>
      <c r="AK1443" s="5" t="s">
        <v>3625</v>
      </c>
    </row>
    <row r="1444" spans="35:37">
      <c r="AI1444" s="468">
        <v>43816</v>
      </c>
      <c r="AJ1444" s="5" t="s">
        <v>3624</v>
      </c>
      <c r="AK1444" s="5" t="s">
        <v>3627</v>
      </c>
    </row>
    <row r="1445" spans="35:37">
      <c r="AI1445" s="468">
        <v>43817</v>
      </c>
      <c r="AJ1445" s="5" t="s">
        <v>3626</v>
      </c>
      <c r="AK1445" s="5" t="s">
        <v>3618</v>
      </c>
    </row>
    <row r="1446" spans="35:37">
      <c r="AI1446" s="468">
        <v>43818</v>
      </c>
      <c r="AJ1446" s="5" t="s">
        <v>3628</v>
      </c>
      <c r="AK1446" s="5" t="s">
        <v>3620</v>
      </c>
    </row>
    <row r="1447" spans="35:37">
      <c r="AI1447" s="468">
        <v>43819</v>
      </c>
      <c r="AJ1447" s="5" t="s">
        <v>3617</v>
      </c>
      <c r="AK1447" s="5" t="s">
        <v>3622</v>
      </c>
    </row>
    <row r="1448" spans="35:37">
      <c r="AI1448" s="468">
        <v>43820</v>
      </c>
      <c r="AJ1448" s="5" t="s">
        <v>3619</v>
      </c>
      <c r="AK1448" s="5" t="s">
        <v>3623</v>
      </c>
    </row>
    <row r="1449" spans="35:37">
      <c r="AI1449" s="468">
        <v>43821</v>
      </c>
      <c r="AJ1449" s="5" t="s">
        <v>3621</v>
      </c>
      <c r="AK1449" s="5" t="s">
        <v>3625</v>
      </c>
    </row>
    <row r="1450" spans="35:37">
      <c r="AI1450" s="468">
        <v>43822</v>
      </c>
      <c r="AJ1450" s="5" t="s">
        <v>3579</v>
      </c>
      <c r="AK1450" s="5" t="s">
        <v>3627</v>
      </c>
    </row>
    <row r="1451" spans="35:37">
      <c r="AI1451" s="468">
        <v>43823</v>
      </c>
      <c r="AJ1451" s="5" t="s">
        <v>3624</v>
      </c>
      <c r="AK1451" s="5" t="s">
        <v>3618</v>
      </c>
    </row>
    <row r="1452" spans="35:37">
      <c r="AI1452" s="468">
        <v>43824</v>
      </c>
      <c r="AJ1452" s="5" t="s">
        <v>3626</v>
      </c>
      <c r="AK1452" s="5" t="s">
        <v>3620</v>
      </c>
    </row>
    <row r="1453" spans="35:37">
      <c r="AI1453" s="468">
        <v>43825</v>
      </c>
      <c r="AJ1453" s="5" t="s">
        <v>3628</v>
      </c>
      <c r="AK1453" s="5" t="s">
        <v>3625</v>
      </c>
    </row>
    <row r="1454" spans="35:37">
      <c r="AI1454" s="468">
        <v>43826</v>
      </c>
      <c r="AJ1454" s="5" t="s">
        <v>3617</v>
      </c>
      <c r="AK1454" s="5" t="s">
        <v>3627</v>
      </c>
    </row>
    <row r="1455" spans="35:37">
      <c r="AI1455" s="468">
        <v>43827</v>
      </c>
      <c r="AJ1455" s="5" t="s">
        <v>3619</v>
      </c>
      <c r="AK1455" s="5" t="s">
        <v>3618</v>
      </c>
    </row>
    <row r="1456" spans="35:37">
      <c r="AI1456" s="468">
        <v>43828</v>
      </c>
      <c r="AJ1456" s="5" t="s">
        <v>3621</v>
      </c>
      <c r="AK1456" s="5" t="s">
        <v>3620</v>
      </c>
    </row>
    <row r="1457" spans="35:37">
      <c r="AI1457" s="468">
        <v>43829</v>
      </c>
      <c r="AJ1457" s="5" t="s">
        <v>3579</v>
      </c>
      <c r="AK1457" s="5" t="s">
        <v>3622</v>
      </c>
    </row>
    <row r="1458" spans="35:37">
      <c r="AI1458" s="468">
        <v>43830</v>
      </c>
      <c r="AJ1458" s="5" t="s">
        <v>3624</v>
      </c>
      <c r="AK1458" s="5" t="s">
        <v>3623</v>
      </c>
    </row>
    <row r="1459" spans="35:37">
      <c r="AI1459" s="468">
        <v>43831</v>
      </c>
      <c r="AJ1459" s="5" t="s">
        <v>3626</v>
      </c>
      <c r="AK1459" s="5" t="s">
        <v>3625</v>
      </c>
    </row>
    <row r="1460" spans="35:37">
      <c r="AI1460" s="468">
        <v>43832</v>
      </c>
      <c r="AJ1460" s="5" t="s">
        <v>3628</v>
      </c>
      <c r="AK1460" s="5" t="s">
        <v>3627</v>
      </c>
    </row>
    <row r="1461" spans="35:37">
      <c r="AI1461" s="468">
        <v>43833</v>
      </c>
      <c r="AJ1461" s="5" t="s">
        <v>3617</v>
      </c>
      <c r="AK1461" s="5" t="s">
        <v>3618</v>
      </c>
    </row>
    <row r="1462" spans="35:37">
      <c r="AI1462" s="468">
        <v>43834</v>
      </c>
      <c r="AJ1462" s="5" t="s">
        <v>3619</v>
      </c>
      <c r="AK1462" s="5" t="s">
        <v>3620</v>
      </c>
    </row>
    <row r="1463" spans="35:37">
      <c r="AI1463" s="468">
        <v>43835</v>
      </c>
      <c r="AJ1463" s="5" t="s">
        <v>3621</v>
      </c>
      <c r="AK1463" s="5" t="s">
        <v>3622</v>
      </c>
    </row>
    <row r="1464" spans="35:37">
      <c r="AI1464" s="468">
        <v>43836</v>
      </c>
      <c r="AJ1464" s="5" t="s">
        <v>3579</v>
      </c>
      <c r="AK1464" s="5" t="s">
        <v>3623</v>
      </c>
    </row>
    <row r="1465" spans="35:37">
      <c r="AI1465" s="468">
        <v>43837</v>
      </c>
      <c r="AJ1465" s="5" t="s">
        <v>3624</v>
      </c>
      <c r="AK1465" s="5" t="s">
        <v>3625</v>
      </c>
    </row>
    <row r="1466" spans="35:37">
      <c r="AI1466" s="468">
        <v>43838</v>
      </c>
      <c r="AJ1466" s="5" t="s">
        <v>3626</v>
      </c>
      <c r="AK1466" s="5" t="s">
        <v>3627</v>
      </c>
    </row>
    <row r="1467" spans="35:37">
      <c r="AI1467" s="468">
        <v>43839</v>
      </c>
      <c r="AJ1467" s="5" t="s">
        <v>3628</v>
      </c>
      <c r="AK1467" s="5" t="s">
        <v>3618</v>
      </c>
    </row>
    <row r="1468" spans="35:37">
      <c r="AI1468" s="468">
        <v>43840</v>
      </c>
      <c r="AJ1468" s="5" t="s">
        <v>3617</v>
      </c>
      <c r="AK1468" s="5" t="s">
        <v>3620</v>
      </c>
    </row>
    <row r="1469" spans="35:37">
      <c r="AI1469" s="468">
        <v>43841</v>
      </c>
      <c r="AJ1469" s="5" t="s">
        <v>3619</v>
      </c>
      <c r="AK1469" s="5" t="s">
        <v>3622</v>
      </c>
    </row>
    <row r="1470" spans="35:37">
      <c r="AI1470" s="468">
        <v>43842</v>
      </c>
      <c r="AJ1470" s="5" t="s">
        <v>3621</v>
      </c>
      <c r="AK1470" s="5" t="s">
        <v>3623</v>
      </c>
    </row>
    <row r="1471" spans="35:37">
      <c r="AI1471" s="468">
        <v>43843</v>
      </c>
      <c r="AJ1471" s="5" t="s">
        <v>3579</v>
      </c>
      <c r="AK1471" s="5" t="s">
        <v>3625</v>
      </c>
    </row>
    <row r="1472" spans="35:37">
      <c r="AI1472" s="468">
        <v>43844</v>
      </c>
      <c r="AJ1472" s="5" t="s">
        <v>3624</v>
      </c>
      <c r="AK1472" s="5" t="s">
        <v>3627</v>
      </c>
    </row>
    <row r="1473" spans="35:37">
      <c r="AI1473" s="468">
        <v>43845</v>
      </c>
      <c r="AJ1473" s="5" t="s">
        <v>3626</v>
      </c>
      <c r="AK1473" s="5" t="s">
        <v>3618</v>
      </c>
    </row>
    <row r="1474" spans="35:37">
      <c r="AI1474" s="468">
        <v>43846</v>
      </c>
      <c r="AJ1474" s="5" t="s">
        <v>3628</v>
      </c>
      <c r="AK1474" s="5" t="s">
        <v>3620</v>
      </c>
    </row>
    <row r="1475" spans="35:37">
      <c r="AI1475" s="468">
        <v>43847</v>
      </c>
      <c r="AJ1475" s="5" t="s">
        <v>3617</v>
      </c>
      <c r="AK1475" s="5" t="s">
        <v>3622</v>
      </c>
    </row>
    <row r="1476" spans="35:37">
      <c r="AI1476" s="468">
        <v>43848</v>
      </c>
      <c r="AJ1476" s="5" t="s">
        <v>3619</v>
      </c>
      <c r="AK1476" s="5" t="s">
        <v>3623</v>
      </c>
    </row>
    <row r="1477" spans="35:37">
      <c r="AI1477" s="468">
        <v>43849</v>
      </c>
      <c r="AJ1477" s="5" t="s">
        <v>3621</v>
      </c>
      <c r="AK1477" s="5" t="s">
        <v>3625</v>
      </c>
    </row>
    <row r="1478" spans="35:37">
      <c r="AI1478" s="468">
        <v>43850</v>
      </c>
      <c r="AJ1478" s="5" t="s">
        <v>3579</v>
      </c>
      <c r="AK1478" s="5" t="s">
        <v>3627</v>
      </c>
    </row>
    <row r="1479" spans="35:37">
      <c r="AI1479" s="468">
        <v>43851</v>
      </c>
      <c r="AJ1479" s="5" t="s">
        <v>3624</v>
      </c>
      <c r="AK1479" s="5" t="s">
        <v>3618</v>
      </c>
    </row>
    <row r="1480" spans="35:37">
      <c r="AI1480" s="468">
        <v>43852</v>
      </c>
      <c r="AJ1480" s="5" t="s">
        <v>3626</v>
      </c>
      <c r="AK1480" s="5" t="s">
        <v>3620</v>
      </c>
    </row>
    <row r="1481" spans="35:37">
      <c r="AI1481" s="468">
        <v>43853</v>
      </c>
      <c r="AJ1481" s="5" t="s">
        <v>3628</v>
      </c>
      <c r="AK1481" s="5" t="s">
        <v>3622</v>
      </c>
    </row>
    <row r="1482" spans="35:37">
      <c r="AI1482" s="468">
        <v>43854</v>
      </c>
      <c r="AJ1482" s="5" t="s">
        <v>3617</v>
      </c>
      <c r="AK1482" s="5" t="s">
        <v>3623</v>
      </c>
    </row>
    <row r="1483" spans="35:37">
      <c r="AI1483" s="468">
        <v>43855</v>
      </c>
      <c r="AJ1483" s="5" t="s">
        <v>3619</v>
      </c>
      <c r="AK1483" s="5" t="s">
        <v>3627</v>
      </c>
    </row>
    <row r="1484" spans="35:37">
      <c r="AI1484" s="468">
        <v>43856</v>
      </c>
      <c r="AJ1484" s="5" t="s">
        <v>3621</v>
      </c>
      <c r="AK1484" s="5" t="s">
        <v>3618</v>
      </c>
    </row>
    <row r="1485" spans="35:37">
      <c r="AI1485" s="468">
        <v>43857</v>
      </c>
      <c r="AJ1485" s="5" t="s">
        <v>3579</v>
      </c>
      <c r="AK1485" s="5" t="s">
        <v>3620</v>
      </c>
    </row>
    <row r="1486" spans="35:37">
      <c r="AI1486" s="468">
        <v>43858</v>
      </c>
      <c r="AJ1486" s="5" t="s">
        <v>3624</v>
      </c>
      <c r="AK1486" s="5" t="s">
        <v>3622</v>
      </c>
    </row>
    <row r="1487" spans="35:37">
      <c r="AI1487" s="468">
        <v>43859</v>
      </c>
      <c r="AJ1487" s="5" t="s">
        <v>3626</v>
      </c>
      <c r="AK1487" s="5" t="s">
        <v>3623</v>
      </c>
    </row>
    <row r="1488" spans="35:37">
      <c r="AI1488" s="468">
        <v>43860</v>
      </c>
      <c r="AJ1488" s="5" t="s">
        <v>3628</v>
      </c>
      <c r="AK1488" s="5" t="s">
        <v>3625</v>
      </c>
    </row>
    <row r="1489" spans="35:37">
      <c r="AI1489" s="468">
        <v>43861</v>
      </c>
      <c r="AJ1489" s="5" t="s">
        <v>3617</v>
      </c>
      <c r="AK1489" s="5" t="s">
        <v>3627</v>
      </c>
    </row>
    <row r="1490" spans="35:37">
      <c r="AI1490" s="468">
        <v>43862</v>
      </c>
      <c r="AJ1490" s="5" t="s">
        <v>3619</v>
      </c>
      <c r="AK1490" s="5" t="s">
        <v>3618</v>
      </c>
    </row>
    <row r="1491" spans="35:37">
      <c r="AI1491" s="468">
        <v>43863</v>
      </c>
      <c r="AJ1491" s="5" t="s">
        <v>3621</v>
      </c>
      <c r="AK1491" s="5" t="s">
        <v>3620</v>
      </c>
    </row>
    <row r="1492" spans="35:37">
      <c r="AI1492" s="468">
        <v>43864</v>
      </c>
      <c r="AJ1492" s="5" t="s">
        <v>3579</v>
      </c>
      <c r="AK1492" s="5" t="s">
        <v>3622</v>
      </c>
    </row>
    <row r="1493" spans="35:37">
      <c r="AI1493" s="468">
        <v>43865</v>
      </c>
      <c r="AJ1493" s="5" t="s">
        <v>3624</v>
      </c>
      <c r="AK1493" s="5" t="s">
        <v>3623</v>
      </c>
    </row>
    <row r="1494" spans="35:37">
      <c r="AI1494" s="468">
        <v>43866</v>
      </c>
      <c r="AJ1494" s="5" t="s">
        <v>3626</v>
      </c>
      <c r="AK1494" s="5" t="s">
        <v>3625</v>
      </c>
    </row>
    <row r="1495" spans="35:37">
      <c r="AI1495" s="468">
        <v>43867</v>
      </c>
      <c r="AJ1495" s="5" t="s">
        <v>3628</v>
      </c>
      <c r="AK1495" s="5" t="s">
        <v>3627</v>
      </c>
    </row>
    <row r="1496" spans="35:37">
      <c r="AI1496" s="468">
        <v>43868</v>
      </c>
      <c r="AJ1496" s="5" t="s">
        <v>3617</v>
      </c>
      <c r="AK1496" s="5" t="s">
        <v>3618</v>
      </c>
    </row>
    <row r="1497" spans="35:37">
      <c r="AI1497" s="468">
        <v>43869</v>
      </c>
      <c r="AJ1497" s="5" t="s">
        <v>3619</v>
      </c>
      <c r="AK1497" s="5" t="s">
        <v>3620</v>
      </c>
    </row>
    <row r="1498" spans="35:37">
      <c r="AI1498" s="468">
        <v>43870</v>
      </c>
      <c r="AJ1498" s="5" t="s">
        <v>3621</v>
      </c>
      <c r="AK1498" s="5" t="s">
        <v>3622</v>
      </c>
    </row>
    <row r="1499" spans="35:37">
      <c r="AI1499" s="468">
        <v>43871</v>
      </c>
      <c r="AJ1499" s="5" t="s">
        <v>3579</v>
      </c>
      <c r="AK1499" s="5" t="s">
        <v>3623</v>
      </c>
    </row>
    <row r="1500" spans="35:37">
      <c r="AI1500" s="468">
        <v>43872</v>
      </c>
      <c r="AJ1500" s="5" t="s">
        <v>3624</v>
      </c>
      <c r="AK1500" s="5" t="s">
        <v>3625</v>
      </c>
    </row>
    <row r="1501" spans="35:37">
      <c r="AI1501" s="468">
        <v>43873</v>
      </c>
      <c r="AJ1501" s="5" t="s">
        <v>3626</v>
      </c>
      <c r="AK1501" s="5" t="s">
        <v>3627</v>
      </c>
    </row>
    <row r="1502" spans="35:37">
      <c r="AI1502" s="468">
        <v>43874</v>
      </c>
      <c r="AJ1502" s="5" t="s">
        <v>3628</v>
      </c>
      <c r="AK1502" s="5" t="s">
        <v>3618</v>
      </c>
    </row>
    <row r="1503" spans="35:37">
      <c r="AI1503" s="468">
        <v>43875</v>
      </c>
      <c r="AJ1503" s="5" t="s">
        <v>3617</v>
      </c>
      <c r="AK1503" s="5" t="s">
        <v>3620</v>
      </c>
    </row>
    <row r="1504" spans="35:37">
      <c r="AI1504" s="468">
        <v>43876</v>
      </c>
      <c r="AJ1504" s="5" t="s">
        <v>3619</v>
      </c>
      <c r="AK1504" s="5" t="s">
        <v>3622</v>
      </c>
    </row>
    <row r="1505" spans="35:37">
      <c r="AI1505" s="468">
        <v>43877</v>
      </c>
      <c r="AJ1505" s="5" t="s">
        <v>3621</v>
      </c>
      <c r="AK1505" s="5" t="s">
        <v>3623</v>
      </c>
    </row>
    <row r="1506" spans="35:37">
      <c r="AI1506" s="468">
        <v>43878</v>
      </c>
      <c r="AJ1506" s="5" t="s">
        <v>3579</v>
      </c>
      <c r="AK1506" s="5" t="s">
        <v>3625</v>
      </c>
    </row>
    <row r="1507" spans="35:37">
      <c r="AI1507" s="468">
        <v>43879</v>
      </c>
      <c r="AJ1507" s="5" t="s">
        <v>3624</v>
      </c>
      <c r="AK1507" s="5" t="s">
        <v>3627</v>
      </c>
    </row>
    <row r="1508" spans="35:37">
      <c r="AI1508" s="468">
        <v>43880</v>
      </c>
      <c r="AJ1508" s="5" t="s">
        <v>3626</v>
      </c>
      <c r="AK1508" s="5" t="s">
        <v>3618</v>
      </c>
    </row>
    <row r="1509" spans="35:37">
      <c r="AI1509" s="468">
        <v>43881</v>
      </c>
      <c r="AJ1509" s="5" t="s">
        <v>3628</v>
      </c>
      <c r="AK1509" s="5" t="s">
        <v>3620</v>
      </c>
    </row>
    <row r="1510" spans="35:37">
      <c r="AI1510" s="468">
        <v>43882</v>
      </c>
      <c r="AJ1510" s="5" t="s">
        <v>3617</v>
      </c>
      <c r="AK1510" s="5" t="s">
        <v>3622</v>
      </c>
    </row>
    <row r="1511" spans="35:37">
      <c r="AI1511" s="468">
        <v>43883</v>
      </c>
      <c r="AJ1511" s="5" t="s">
        <v>3619</v>
      </c>
      <c r="AK1511" s="5" t="s">
        <v>3623</v>
      </c>
    </row>
    <row r="1512" spans="35:37">
      <c r="AI1512" s="468">
        <v>43884</v>
      </c>
      <c r="AJ1512" s="5" t="s">
        <v>3621</v>
      </c>
      <c r="AK1512" s="5" t="s">
        <v>3625</v>
      </c>
    </row>
    <row r="1513" spans="35:37">
      <c r="AI1513" s="468">
        <v>43885</v>
      </c>
      <c r="AJ1513" s="5" t="s">
        <v>3579</v>
      </c>
      <c r="AK1513" s="5" t="s">
        <v>3618</v>
      </c>
    </row>
    <row r="1514" spans="35:37">
      <c r="AI1514" s="468">
        <v>43886</v>
      </c>
      <c r="AJ1514" s="5" t="s">
        <v>3624</v>
      </c>
      <c r="AK1514" s="5" t="s">
        <v>3620</v>
      </c>
    </row>
    <row r="1515" spans="35:37">
      <c r="AI1515" s="468">
        <v>43887</v>
      </c>
      <c r="AJ1515" s="5" t="s">
        <v>3626</v>
      </c>
      <c r="AK1515" s="5" t="s">
        <v>3622</v>
      </c>
    </row>
    <row r="1516" spans="35:37">
      <c r="AI1516" s="468">
        <v>43888</v>
      </c>
      <c r="AJ1516" s="5" t="s">
        <v>3628</v>
      </c>
      <c r="AK1516" s="5" t="s">
        <v>3623</v>
      </c>
    </row>
    <row r="1517" spans="35:37">
      <c r="AI1517" s="468">
        <v>43889</v>
      </c>
      <c r="AJ1517" s="5" t="s">
        <v>3617</v>
      </c>
      <c r="AK1517" s="5" t="s">
        <v>3625</v>
      </c>
    </row>
    <row r="1518" spans="35:37">
      <c r="AI1518" s="468">
        <v>43890</v>
      </c>
      <c r="AJ1518" s="5" t="s">
        <v>3619</v>
      </c>
      <c r="AK1518" s="5" t="s">
        <v>3627</v>
      </c>
    </row>
    <row r="1519" spans="35:37">
      <c r="AI1519" s="468">
        <v>43891</v>
      </c>
      <c r="AJ1519" s="5" t="s">
        <v>3621</v>
      </c>
      <c r="AK1519" s="5" t="s">
        <v>3618</v>
      </c>
    </row>
    <row r="1520" spans="35:37">
      <c r="AI1520" s="468">
        <v>43892</v>
      </c>
      <c r="AJ1520" s="5" t="s">
        <v>3579</v>
      </c>
      <c r="AK1520" s="5" t="s">
        <v>3620</v>
      </c>
    </row>
    <row r="1521" spans="35:37">
      <c r="AI1521" s="468">
        <v>43893</v>
      </c>
      <c r="AJ1521" s="5" t="s">
        <v>3624</v>
      </c>
      <c r="AK1521" s="5" t="s">
        <v>3622</v>
      </c>
    </row>
    <row r="1522" spans="35:37">
      <c r="AI1522" s="468">
        <v>43894</v>
      </c>
      <c r="AJ1522" s="5" t="s">
        <v>3626</v>
      </c>
      <c r="AK1522" s="5" t="s">
        <v>3623</v>
      </c>
    </row>
    <row r="1523" spans="35:37">
      <c r="AI1523" s="468">
        <v>43895</v>
      </c>
      <c r="AJ1523" s="5" t="s">
        <v>3628</v>
      </c>
      <c r="AK1523" s="5" t="s">
        <v>3625</v>
      </c>
    </row>
    <row r="1524" spans="35:37">
      <c r="AI1524" s="468">
        <v>43896</v>
      </c>
      <c r="AJ1524" s="5" t="s">
        <v>3617</v>
      </c>
      <c r="AK1524" s="5" t="s">
        <v>3627</v>
      </c>
    </row>
    <row r="1525" spans="35:37">
      <c r="AI1525" s="468">
        <v>43897</v>
      </c>
      <c r="AJ1525" s="5" t="s">
        <v>3619</v>
      </c>
      <c r="AK1525" s="5" t="s">
        <v>3618</v>
      </c>
    </row>
    <row r="1526" spans="35:37">
      <c r="AI1526" s="468">
        <v>43898</v>
      </c>
      <c r="AJ1526" s="5" t="s">
        <v>3621</v>
      </c>
      <c r="AK1526" s="5" t="s">
        <v>3620</v>
      </c>
    </row>
    <row r="1527" spans="35:37">
      <c r="AI1527" s="468">
        <v>43899</v>
      </c>
      <c r="AJ1527" s="5" t="s">
        <v>3579</v>
      </c>
      <c r="AK1527" s="5" t="s">
        <v>3622</v>
      </c>
    </row>
    <row r="1528" spans="35:37">
      <c r="AI1528" s="468">
        <v>43900</v>
      </c>
      <c r="AJ1528" s="5" t="s">
        <v>3624</v>
      </c>
      <c r="AK1528" s="5" t="s">
        <v>3623</v>
      </c>
    </row>
    <row r="1529" spans="35:37">
      <c r="AI1529" s="468">
        <v>43901</v>
      </c>
      <c r="AJ1529" s="5" t="s">
        <v>3626</v>
      </c>
      <c r="AK1529" s="5" t="s">
        <v>3625</v>
      </c>
    </row>
    <row r="1530" spans="35:37">
      <c r="AI1530" s="468">
        <v>43902</v>
      </c>
      <c r="AJ1530" s="5" t="s">
        <v>3628</v>
      </c>
      <c r="AK1530" s="5" t="s">
        <v>3627</v>
      </c>
    </row>
    <row r="1531" spans="35:37">
      <c r="AI1531" s="468">
        <v>43903</v>
      </c>
      <c r="AJ1531" s="5" t="s">
        <v>3617</v>
      </c>
      <c r="AK1531" s="5" t="s">
        <v>3618</v>
      </c>
    </row>
    <row r="1532" spans="35:37">
      <c r="AI1532" s="468">
        <v>43904</v>
      </c>
      <c r="AJ1532" s="5" t="s">
        <v>3619</v>
      </c>
      <c r="AK1532" s="5" t="s">
        <v>3620</v>
      </c>
    </row>
    <row r="1533" spans="35:37">
      <c r="AI1533" s="468">
        <v>43905</v>
      </c>
      <c r="AJ1533" s="5" t="s">
        <v>3621</v>
      </c>
      <c r="AK1533" s="5" t="s">
        <v>3622</v>
      </c>
    </row>
    <row r="1534" spans="35:37">
      <c r="AI1534" s="468">
        <v>43906</v>
      </c>
      <c r="AJ1534" s="5" t="s">
        <v>3579</v>
      </c>
      <c r="AK1534" s="5" t="s">
        <v>3623</v>
      </c>
    </row>
    <row r="1535" spans="35:37">
      <c r="AI1535" s="468">
        <v>43907</v>
      </c>
      <c r="AJ1535" s="5" t="s">
        <v>3624</v>
      </c>
      <c r="AK1535" s="5" t="s">
        <v>3625</v>
      </c>
    </row>
    <row r="1536" spans="35:37">
      <c r="AI1536" s="468">
        <v>43908</v>
      </c>
      <c r="AJ1536" s="5" t="s">
        <v>3626</v>
      </c>
      <c r="AK1536" s="5" t="s">
        <v>3627</v>
      </c>
    </row>
    <row r="1537" spans="35:37">
      <c r="AI1537" s="468">
        <v>43909</v>
      </c>
      <c r="AJ1537" s="5" t="s">
        <v>3628</v>
      </c>
      <c r="AK1537" s="5" t="s">
        <v>3618</v>
      </c>
    </row>
    <row r="1538" spans="35:37">
      <c r="AI1538" s="468">
        <v>43910</v>
      </c>
      <c r="AJ1538" s="5" t="s">
        <v>3617</v>
      </c>
      <c r="AK1538" s="5" t="s">
        <v>3620</v>
      </c>
    </row>
    <row r="1539" spans="35:37">
      <c r="AI1539" s="468">
        <v>43911</v>
      </c>
      <c r="AJ1539" s="5" t="s">
        <v>3619</v>
      </c>
      <c r="AK1539" s="5" t="s">
        <v>3622</v>
      </c>
    </row>
    <row r="1540" spans="35:37">
      <c r="AI1540" s="468">
        <v>43912</v>
      </c>
      <c r="AJ1540" s="5" t="s">
        <v>3621</v>
      </c>
      <c r="AK1540" s="5" t="s">
        <v>3623</v>
      </c>
    </row>
    <row r="1541" spans="35:37">
      <c r="AI1541" s="468">
        <v>43913</v>
      </c>
      <c r="AJ1541" s="5" t="s">
        <v>3579</v>
      </c>
      <c r="AK1541" s="5" t="s">
        <v>3625</v>
      </c>
    </row>
    <row r="1542" spans="35:37">
      <c r="AI1542" s="468">
        <v>43914</v>
      </c>
      <c r="AJ1542" s="5" t="s">
        <v>3624</v>
      </c>
      <c r="AK1542" s="5" t="s">
        <v>3620</v>
      </c>
    </row>
    <row r="1543" spans="35:37">
      <c r="AI1543" s="468">
        <v>43915</v>
      </c>
      <c r="AJ1543" s="5" t="s">
        <v>3626</v>
      </c>
      <c r="AK1543" s="5" t="s">
        <v>3622</v>
      </c>
    </row>
    <row r="1544" spans="35:37">
      <c r="AI1544" s="468">
        <v>43916</v>
      </c>
      <c r="AJ1544" s="5" t="s">
        <v>3628</v>
      </c>
      <c r="AK1544" s="5" t="s">
        <v>3623</v>
      </c>
    </row>
    <row r="1545" spans="35:37">
      <c r="AI1545" s="468">
        <v>43917</v>
      </c>
      <c r="AJ1545" s="5" t="s">
        <v>3617</v>
      </c>
      <c r="AK1545" s="5" t="s">
        <v>3625</v>
      </c>
    </row>
    <row r="1546" spans="35:37">
      <c r="AI1546" s="468">
        <v>43918</v>
      </c>
      <c r="AJ1546" s="5" t="s">
        <v>3619</v>
      </c>
      <c r="AK1546" s="5" t="s">
        <v>3627</v>
      </c>
    </row>
    <row r="1547" spans="35:37">
      <c r="AI1547" s="468">
        <v>43919</v>
      </c>
      <c r="AJ1547" s="5" t="s">
        <v>3621</v>
      </c>
      <c r="AK1547" s="5" t="s">
        <v>3618</v>
      </c>
    </row>
    <row r="1548" spans="35:37">
      <c r="AI1548" s="468">
        <v>43920</v>
      </c>
      <c r="AJ1548" s="5" t="s">
        <v>3579</v>
      </c>
      <c r="AK1548" s="5" t="s">
        <v>3620</v>
      </c>
    </row>
    <row r="1549" spans="35:37">
      <c r="AI1549" s="468">
        <v>43921</v>
      </c>
      <c r="AJ1549" s="5" t="s">
        <v>3624</v>
      </c>
      <c r="AK1549" s="5" t="s">
        <v>3622</v>
      </c>
    </row>
    <row r="1550" spans="35:37">
      <c r="AI1550" s="468">
        <v>43922</v>
      </c>
      <c r="AJ1550" s="5" t="s">
        <v>3626</v>
      </c>
      <c r="AK1550" s="5" t="s">
        <v>3623</v>
      </c>
    </row>
    <row r="1551" spans="35:37">
      <c r="AI1551" s="468">
        <v>43923</v>
      </c>
      <c r="AJ1551" s="5" t="s">
        <v>3628</v>
      </c>
      <c r="AK1551" s="5" t="s">
        <v>3625</v>
      </c>
    </row>
    <row r="1552" spans="35:37">
      <c r="AI1552" s="468">
        <v>43924</v>
      </c>
      <c r="AJ1552" s="5" t="s">
        <v>3617</v>
      </c>
      <c r="AK1552" s="5" t="s">
        <v>3627</v>
      </c>
    </row>
    <row r="1553" spans="35:37">
      <c r="AI1553" s="468">
        <v>43925</v>
      </c>
      <c r="AJ1553" s="5" t="s">
        <v>3619</v>
      </c>
      <c r="AK1553" s="5" t="s">
        <v>3618</v>
      </c>
    </row>
    <row r="1554" spans="35:37">
      <c r="AI1554" s="468">
        <v>43926</v>
      </c>
      <c r="AJ1554" s="5" t="s">
        <v>3621</v>
      </c>
      <c r="AK1554" s="5" t="s">
        <v>3620</v>
      </c>
    </row>
    <row r="1555" spans="35:37">
      <c r="AI1555" s="468">
        <v>43927</v>
      </c>
      <c r="AJ1555" s="5" t="s">
        <v>3579</v>
      </c>
      <c r="AK1555" s="5" t="s">
        <v>3622</v>
      </c>
    </row>
    <row r="1556" spans="35:37">
      <c r="AI1556" s="468">
        <v>43928</v>
      </c>
      <c r="AJ1556" s="5" t="s">
        <v>3624</v>
      </c>
      <c r="AK1556" s="5" t="s">
        <v>3623</v>
      </c>
    </row>
    <row r="1557" spans="35:37">
      <c r="AI1557" s="468">
        <v>43929</v>
      </c>
      <c r="AJ1557" s="5" t="s">
        <v>3626</v>
      </c>
      <c r="AK1557" s="5" t="s">
        <v>3625</v>
      </c>
    </row>
    <row r="1558" spans="35:37">
      <c r="AI1558" s="468">
        <v>43930</v>
      </c>
      <c r="AJ1558" s="5" t="s">
        <v>3628</v>
      </c>
      <c r="AK1558" s="5" t="s">
        <v>3627</v>
      </c>
    </row>
    <row r="1559" spans="35:37">
      <c r="AI1559" s="468">
        <v>43931</v>
      </c>
      <c r="AJ1559" s="5" t="s">
        <v>3617</v>
      </c>
      <c r="AK1559" s="5" t="s">
        <v>3618</v>
      </c>
    </row>
    <row r="1560" spans="35:37">
      <c r="AI1560" s="468">
        <v>43932</v>
      </c>
      <c r="AJ1560" s="5" t="s">
        <v>3619</v>
      </c>
      <c r="AK1560" s="5" t="s">
        <v>3620</v>
      </c>
    </row>
    <row r="1561" spans="35:37">
      <c r="AI1561" s="468">
        <v>43933</v>
      </c>
      <c r="AJ1561" s="5" t="s">
        <v>3621</v>
      </c>
      <c r="AK1561" s="5" t="s">
        <v>3622</v>
      </c>
    </row>
    <row r="1562" spans="35:37">
      <c r="AI1562" s="468">
        <v>43934</v>
      </c>
      <c r="AJ1562" s="5" t="s">
        <v>3579</v>
      </c>
      <c r="AK1562" s="5" t="s">
        <v>3623</v>
      </c>
    </row>
    <row r="1563" spans="35:37">
      <c r="AI1563" s="468">
        <v>43935</v>
      </c>
      <c r="AJ1563" s="5" t="s">
        <v>3624</v>
      </c>
      <c r="AK1563" s="5" t="s">
        <v>3625</v>
      </c>
    </row>
    <row r="1564" spans="35:37">
      <c r="AI1564" s="468">
        <v>43936</v>
      </c>
      <c r="AJ1564" s="5" t="s">
        <v>3626</v>
      </c>
      <c r="AK1564" s="5" t="s">
        <v>3627</v>
      </c>
    </row>
    <row r="1565" spans="35:37">
      <c r="AI1565" s="468">
        <v>43937</v>
      </c>
      <c r="AJ1565" s="5" t="s">
        <v>3628</v>
      </c>
      <c r="AK1565" s="5" t="s">
        <v>3618</v>
      </c>
    </row>
    <row r="1566" spans="35:37">
      <c r="AI1566" s="468">
        <v>43938</v>
      </c>
      <c r="AJ1566" s="5" t="s">
        <v>3617</v>
      </c>
      <c r="AK1566" s="5" t="s">
        <v>3620</v>
      </c>
    </row>
    <row r="1567" spans="35:37">
      <c r="AI1567" s="468">
        <v>43939</v>
      </c>
      <c r="AJ1567" s="5" t="s">
        <v>3619</v>
      </c>
      <c r="AK1567" s="5" t="s">
        <v>3622</v>
      </c>
    </row>
    <row r="1568" spans="35:37">
      <c r="AI1568" s="468">
        <v>43940</v>
      </c>
      <c r="AJ1568" s="5" t="s">
        <v>3621</v>
      </c>
      <c r="AK1568" s="5" t="s">
        <v>3623</v>
      </c>
    </row>
    <row r="1569" spans="35:37">
      <c r="AI1569" s="468">
        <v>43941</v>
      </c>
      <c r="AJ1569" s="5" t="s">
        <v>3579</v>
      </c>
      <c r="AK1569" s="5" t="s">
        <v>3625</v>
      </c>
    </row>
    <row r="1570" spans="35:37">
      <c r="AI1570" s="468">
        <v>43942</v>
      </c>
      <c r="AJ1570" s="5" t="s">
        <v>3624</v>
      </c>
      <c r="AK1570" s="5" t="s">
        <v>3627</v>
      </c>
    </row>
    <row r="1571" spans="35:37">
      <c r="AI1571" s="468">
        <v>43943</v>
      </c>
      <c r="AJ1571" s="5" t="s">
        <v>3626</v>
      </c>
      <c r="AK1571" s="5" t="s">
        <v>3618</v>
      </c>
    </row>
    <row r="1572" spans="35:37">
      <c r="AI1572" s="468">
        <v>43944</v>
      </c>
      <c r="AJ1572" s="5" t="s">
        <v>3628</v>
      </c>
      <c r="AK1572" s="5" t="s">
        <v>3622</v>
      </c>
    </row>
    <row r="1573" spans="35:37">
      <c r="AI1573" s="468">
        <v>43945</v>
      </c>
      <c r="AJ1573" s="5" t="s">
        <v>3617</v>
      </c>
      <c r="AK1573" s="5" t="s">
        <v>3623</v>
      </c>
    </row>
    <row r="1574" spans="35:37">
      <c r="AI1574" s="468">
        <v>43946</v>
      </c>
      <c r="AJ1574" s="5" t="s">
        <v>3619</v>
      </c>
      <c r="AK1574" s="5" t="s">
        <v>3625</v>
      </c>
    </row>
    <row r="1575" spans="35:37">
      <c r="AI1575" s="468">
        <v>43947</v>
      </c>
      <c r="AJ1575" s="5" t="s">
        <v>3621</v>
      </c>
      <c r="AK1575" s="5" t="s">
        <v>3627</v>
      </c>
    </row>
    <row r="1576" spans="35:37">
      <c r="AI1576" s="468">
        <v>43948</v>
      </c>
      <c r="AJ1576" s="5" t="s">
        <v>3579</v>
      </c>
      <c r="AK1576" s="5" t="s">
        <v>3618</v>
      </c>
    </row>
    <row r="1577" spans="35:37">
      <c r="AI1577" s="468">
        <v>43949</v>
      </c>
      <c r="AJ1577" s="5" t="s">
        <v>3624</v>
      </c>
      <c r="AK1577" s="5" t="s">
        <v>3620</v>
      </c>
    </row>
    <row r="1578" spans="35:37">
      <c r="AI1578" s="468">
        <v>43950</v>
      </c>
      <c r="AJ1578" s="5" t="s">
        <v>3626</v>
      </c>
      <c r="AK1578" s="5" t="s">
        <v>3622</v>
      </c>
    </row>
    <row r="1579" spans="35:37">
      <c r="AI1579" s="468">
        <v>43951</v>
      </c>
      <c r="AJ1579" s="5" t="s">
        <v>3628</v>
      </c>
      <c r="AK1579" s="5" t="s">
        <v>3623</v>
      </c>
    </row>
    <row r="1580" spans="35:37">
      <c r="AI1580" s="468">
        <v>43952</v>
      </c>
      <c r="AJ1580" s="5" t="s">
        <v>3617</v>
      </c>
      <c r="AK1580" s="5" t="s">
        <v>3625</v>
      </c>
    </row>
    <row r="1581" spans="35:37">
      <c r="AI1581" s="468">
        <v>43953</v>
      </c>
      <c r="AJ1581" s="5" t="s">
        <v>3619</v>
      </c>
      <c r="AK1581" s="5" t="s">
        <v>3627</v>
      </c>
    </row>
    <row r="1582" spans="35:37">
      <c r="AI1582" s="468">
        <v>43954</v>
      </c>
      <c r="AJ1582" s="5" t="s">
        <v>3621</v>
      </c>
      <c r="AK1582" s="5" t="s">
        <v>3618</v>
      </c>
    </row>
    <row r="1583" spans="35:37">
      <c r="AI1583" s="468">
        <v>43955</v>
      </c>
      <c r="AJ1583" s="5" t="s">
        <v>3579</v>
      </c>
      <c r="AK1583" s="5" t="s">
        <v>3620</v>
      </c>
    </row>
    <row r="1584" spans="35:37">
      <c r="AI1584" s="468">
        <v>43956</v>
      </c>
      <c r="AJ1584" s="5" t="s">
        <v>3624</v>
      </c>
      <c r="AK1584" s="5" t="s">
        <v>3622</v>
      </c>
    </row>
    <row r="1585" spans="35:37">
      <c r="AI1585" s="468">
        <v>43957</v>
      </c>
      <c r="AJ1585" s="5" t="s">
        <v>3626</v>
      </c>
      <c r="AK1585" s="5" t="s">
        <v>3623</v>
      </c>
    </row>
    <row r="1586" spans="35:37">
      <c r="AI1586" s="468">
        <v>43958</v>
      </c>
      <c r="AJ1586" s="5" t="s">
        <v>3628</v>
      </c>
      <c r="AK1586" s="5" t="s">
        <v>3625</v>
      </c>
    </row>
    <row r="1587" spans="35:37">
      <c r="AI1587" s="468">
        <v>43959</v>
      </c>
      <c r="AJ1587" s="5" t="s">
        <v>3617</v>
      </c>
      <c r="AK1587" s="5" t="s">
        <v>3627</v>
      </c>
    </row>
    <row r="1588" spans="35:37">
      <c r="AI1588" s="468">
        <v>43960</v>
      </c>
      <c r="AJ1588" s="5" t="s">
        <v>3619</v>
      </c>
      <c r="AK1588" s="5" t="s">
        <v>3618</v>
      </c>
    </row>
    <row r="1589" spans="35:37">
      <c r="AI1589" s="468">
        <v>43961</v>
      </c>
      <c r="AJ1589" s="5" t="s">
        <v>3621</v>
      </c>
      <c r="AK1589" s="5" t="s">
        <v>3620</v>
      </c>
    </row>
    <row r="1590" spans="35:37">
      <c r="AI1590" s="468">
        <v>43962</v>
      </c>
      <c r="AJ1590" s="5" t="s">
        <v>3579</v>
      </c>
      <c r="AK1590" s="5" t="s">
        <v>3622</v>
      </c>
    </row>
    <row r="1591" spans="35:37">
      <c r="AI1591" s="468">
        <v>43963</v>
      </c>
      <c r="AJ1591" s="5" t="s">
        <v>3624</v>
      </c>
      <c r="AK1591" s="5" t="s">
        <v>3623</v>
      </c>
    </row>
    <row r="1592" spans="35:37">
      <c r="AI1592" s="468">
        <v>43964</v>
      </c>
      <c r="AJ1592" s="5" t="s">
        <v>3626</v>
      </c>
      <c r="AK1592" s="5" t="s">
        <v>3625</v>
      </c>
    </row>
    <row r="1593" spans="35:37">
      <c r="AI1593" s="468">
        <v>43965</v>
      </c>
      <c r="AJ1593" s="5" t="s">
        <v>3628</v>
      </c>
      <c r="AK1593" s="5" t="s">
        <v>3627</v>
      </c>
    </row>
    <row r="1594" spans="35:37">
      <c r="AI1594" s="468">
        <v>43966</v>
      </c>
      <c r="AJ1594" s="5" t="s">
        <v>3617</v>
      </c>
      <c r="AK1594" s="5" t="s">
        <v>3618</v>
      </c>
    </row>
    <row r="1595" spans="35:37">
      <c r="AI1595" s="468">
        <v>43967</v>
      </c>
      <c r="AJ1595" s="5" t="s">
        <v>3619</v>
      </c>
      <c r="AK1595" s="5" t="s">
        <v>3620</v>
      </c>
    </row>
    <row r="1596" spans="35:37">
      <c r="AI1596" s="468">
        <v>43968</v>
      </c>
      <c r="AJ1596" s="5" t="s">
        <v>3621</v>
      </c>
      <c r="AK1596" s="5" t="s">
        <v>3622</v>
      </c>
    </row>
    <row r="1597" spans="35:37">
      <c r="AI1597" s="468">
        <v>43969</v>
      </c>
      <c r="AJ1597" s="5" t="s">
        <v>3579</v>
      </c>
      <c r="AK1597" s="5" t="s">
        <v>3623</v>
      </c>
    </row>
    <row r="1598" spans="35:37">
      <c r="AI1598" s="468">
        <v>43970</v>
      </c>
      <c r="AJ1598" s="5" t="s">
        <v>3624</v>
      </c>
      <c r="AK1598" s="5" t="s">
        <v>3625</v>
      </c>
    </row>
    <row r="1599" spans="35:37">
      <c r="AI1599" s="468">
        <v>43971</v>
      </c>
      <c r="AJ1599" s="5" t="s">
        <v>3626</v>
      </c>
      <c r="AK1599" s="5" t="s">
        <v>3627</v>
      </c>
    </row>
    <row r="1600" spans="35:37">
      <c r="AI1600" s="468">
        <v>43972</v>
      </c>
      <c r="AJ1600" s="5" t="s">
        <v>3628</v>
      </c>
      <c r="AK1600" s="5" t="s">
        <v>3618</v>
      </c>
    </row>
    <row r="1601" spans="35:37">
      <c r="AI1601" s="468">
        <v>43973</v>
      </c>
      <c r="AJ1601" s="5" t="s">
        <v>3617</v>
      </c>
      <c r="AK1601" s="5" t="s">
        <v>3620</v>
      </c>
    </row>
    <row r="1602" spans="35:37">
      <c r="AI1602" s="468">
        <v>43974</v>
      </c>
      <c r="AJ1602" s="5" t="s">
        <v>3619</v>
      </c>
      <c r="AK1602" s="5" t="s">
        <v>3622</v>
      </c>
    </row>
    <row r="1603" spans="35:37">
      <c r="AI1603" s="468">
        <v>43975</v>
      </c>
      <c r="AJ1603" s="5" t="s">
        <v>3621</v>
      </c>
      <c r="AK1603" s="5" t="s">
        <v>3623</v>
      </c>
    </row>
    <row r="1604" spans="35:37">
      <c r="AI1604" s="468">
        <v>43976</v>
      </c>
      <c r="AJ1604" s="5" t="s">
        <v>3579</v>
      </c>
      <c r="AK1604" s="5" t="s">
        <v>3625</v>
      </c>
    </row>
    <row r="1605" spans="35:37">
      <c r="AI1605" s="468">
        <v>43977</v>
      </c>
      <c r="AJ1605" s="5" t="s">
        <v>3624</v>
      </c>
      <c r="AK1605" s="5" t="s">
        <v>3627</v>
      </c>
    </row>
    <row r="1606" spans="35:37">
      <c r="AI1606" s="468">
        <v>43978</v>
      </c>
      <c r="AJ1606" s="5" t="s">
        <v>3626</v>
      </c>
      <c r="AK1606" s="5" t="s">
        <v>3618</v>
      </c>
    </row>
    <row r="1607" spans="35:37">
      <c r="AI1607" s="468">
        <v>43979</v>
      </c>
      <c r="AJ1607" s="5" t="s">
        <v>3628</v>
      </c>
      <c r="AK1607" s="5" t="s">
        <v>3620</v>
      </c>
    </row>
    <row r="1608" spans="35:37">
      <c r="AI1608" s="468">
        <v>43980</v>
      </c>
      <c r="AJ1608" s="5" t="s">
        <v>3617</v>
      </c>
      <c r="AK1608" s="5" t="s">
        <v>3622</v>
      </c>
    </row>
    <row r="1609" spans="35:37">
      <c r="AI1609" s="468">
        <v>43981</v>
      </c>
      <c r="AJ1609" s="5" t="s">
        <v>3619</v>
      </c>
      <c r="AK1609" s="5" t="s">
        <v>3623</v>
      </c>
    </row>
    <row r="1610" spans="35:37">
      <c r="AI1610" s="468">
        <v>43982</v>
      </c>
      <c r="AJ1610" s="5" t="s">
        <v>3621</v>
      </c>
      <c r="AK1610" s="5" t="s">
        <v>3625</v>
      </c>
    </row>
    <row r="1611" spans="35:37">
      <c r="AI1611" s="468">
        <v>43983</v>
      </c>
      <c r="AJ1611" s="5" t="s">
        <v>3579</v>
      </c>
      <c r="AK1611" s="5" t="s">
        <v>3627</v>
      </c>
    </row>
    <row r="1612" spans="35:37">
      <c r="AI1612" s="468">
        <v>43984</v>
      </c>
      <c r="AJ1612" s="5" t="s">
        <v>3624</v>
      </c>
      <c r="AK1612" s="5" t="s">
        <v>3618</v>
      </c>
    </row>
    <row r="1613" spans="35:37">
      <c r="AI1613" s="468">
        <v>43985</v>
      </c>
      <c r="AJ1613" s="5" t="s">
        <v>3626</v>
      </c>
      <c r="AK1613" s="5" t="s">
        <v>3620</v>
      </c>
    </row>
    <row r="1614" spans="35:37">
      <c r="AI1614" s="468">
        <v>43986</v>
      </c>
      <c r="AJ1614" s="5" t="s">
        <v>3628</v>
      </c>
      <c r="AK1614" s="5" t="s">
        <v>3622</v>
      </c>
    </row>
    <row r="1615" spans="35:37">
      <c r="AI1615" s="468">
        <v>43987</v>
      </c>
      <c r="AJ1615" s="5" t="s">
        <v>3617</v>
      </c>
      <c r="AK1615" s="5" t="s">
        <v>3623</v>
      </c>
    </row>
    <row r="1616" spans="35:37">
      <c r="AI1616" s="468">
        <v>43988</v>
      </c>
      <c r="AJ1616" s="5" t="s">
        <v>3619</v>
      </c>
      <c r="AK1616" s="5" t="s">
        <v>3625</v>
      </c>
    </row>
    <row r="1617" spans="35:37">
      <c r="AI1617" s="468">
        <v>43989</v>
      </c>
      <c r="AJ1617" s="5" t="s">
        <v>3621</v>
      </c>
      <c r="AK1617" s="5" t="s">
        <v>3627</v>
      </c>
    </row>
    <row r="1618" spans="35:37">
      <c r="AI1618" s="468">
        <v>43990</v>
      </c>
      <c r="AJ1618" s="5" t="s">
        <v>3579</v>
      </c>
      <c r="AK1618" s="5" t="s">
        <v>3618</v>
      </c>
    </row>
    <row r="1619" spans="35:37">
      <c r="AI1619" s="468">
        <v>43991</v>
      </c>
      <c r="AJ1619" s="5" t="s">
        <v>3624</v>
      </c>
      <c r="AK1619" s="5" t="s">
        <v>3620</v>
      </c>
    </row>
    <row r="1620" spans="35:37">
      <c r="AI1620" s="468">
        <v>43992</v>
      </c>
      <c r="AJ1620" s="5" t="s">
        <v>3626</v>
      </c>
      <c r="AK1620" s="5" t="s">
        <v>3622</v>
      </c>
    </row>
    <row r="1621" spans="35:37">
      <c r="AI1621" s="468">
        <v>43993</v>
      </c>
      <c r="AJ1621" s="5" t="s">
        <v>3628</v>
      </c>
      <c r="AK1621" s="5" t="s">
        <v>3623</v>
      </c>
    </row>
    <row r="1622" spans="35:37">
      <c r="AI1622" s="468">
        <v>43994</v>
      </c>
      <c r="AJ1622" s="5" t="s">
        <v>3617</v>
      </c>
      <c r="AK1622" s="5" t="s">
        <v>3625</v>
      </c>
    </row>
    <row r="1623" spans="35:37">
      <c r="AI1623" s="468">
        <v>43995</v>
      </c>
      <c r="AJ1623" s="5" t="s">
        <v>3619</v>
      </c>
      <c r="AK1623" s="5" t="s">
        <v>3627</v>
      </c>
    </row>
    <row r="1624" spans="35:37">
      <c r="AI1624" s="468">
        <v>43996</v>
      </c>
      <c r="AJ1624" s="5" t="s">
        <v>3621</v>
      </c>
      <c r="AK1624" s="5" t="s">
        <v>3618</v>
      </c>
    </row>
    <row r="1625" spans="35:37">
      <c r="AI1625" s="468">
        <v>43997</v>
      </c>
      <c r="AJ1625" s="5" t="s">
        <v>3579</v>
      </c>
      <c r="AK1625" s="5" t="s">
        <v>3620</v>
      </c>
    </row>
    <row r="1626" spans="35:37">
      <c r="AI1626" s="468">
        <v>43998</v>
      </c>
      <c r="AJ1626" s="5" t="s">
        <v>3624</v>
      </c>
      <c r="AK1626" s="5" t="s">
        <v>3622</v>
      </c>
    </row>
    <row r="1627" spans="35:37">
      <c r="AI1627" s="468">
        <v>43999</v>
      </c>
      <c r="AJ1627" s="5" t="s">
        <v>3626</v>
      </c>
      <c r="AK1627" s="5" t="s">
        <v>3623</v>
      </c>
    </row>
    <row r="1628" spans="35:37">
      <c r="AI1628" s="468">
        <v>44000</v>
      </c>
      <c r="AJ1628" s="5" t="s">
        <v>3628</v>
      </c>
      <c r="AK1628" s="5" t="s">
        <v>3625</v>
      </c>
    </row>
    <row r="1629" spans="35:37">
      <c r="AI1629" s="468">
        <v>44001</v>
      </c>
      <c r="AJ1629" s="5" t="s">
        <v>3617</v>
      </c>
      <c r="AK1629" s="5" t="s">
        <v>3627</v>
      </c>
    </row>
    <row r="1630" spans="35:37">
      <c r="AI1630" s="468">
        <v>44002</v>
      </c>
      <c r="AJ1630" s="5" t="s">
        <v>3619</v>
      </c>
      <c r="AK1630" s="5" t="s">
        <v>3618</v>
      </c>
    </row>
    <row r="1631" spans="35:37">
      <c r="AI1631" s="468">
        <v>44003</v>
      </c>
      <c r="AJ1631" s="5" t="s">
        <v>3621</v>
      </c>
      <c r="AK1631" s="5" t="s">
        <v>3623</v>
      </c>
    </row>
    <row r="1632" spans="35:37">
      <c r="AI1632" s="468">
        <v>44004</v>
      </c>
      <c r="AJ1632" s="5" t="s">
        <v>3579</v>
      </c>
      <c r="AK1632" s="5" t="s">
        <v>3625</v>
      </c>
    </row>
    <row r="1633" spans="35:37">
      <c r="AI1633" s="468">
        <v>44005</v>
      </c>
      <c r="AJ1633" s="5" t="s">
        <v>3624</v>
      </c>
      <c r="AK1633" s="5" t="s">
        <v>3627</v>
      </c>
    </row>
    <row r="1634" spans="35:37">
      <c r="AI1634" s="468">
        <v>44006</v>
      </c>
      <c r="AJ1634" s="5" t="s">
        <v>3626</v>
      </c>
      <c r="AK1634" s="5" t="s">
        <v>3618</v>
      </c>
    </row>
    <row r="1635" spans="35:37">
      <c r="AI1635" s="468">
        <v>44007</v>
      </c>
      <c r="AJ1635" s="5" t="s">
        <v>3628</v>
      </c>
      <c r="AK1635" s="5" t="s">
        <v>3620</v>
      </c>
    </row>
    <row r="1636" spans="35:37">
      <c r="AI1636" s="468">
        <v>44008</v>
      </c>
      <c r="AJ1636" s="5" t="s">
        <v>3617</v>
      </c>
      <c r="AK1636" s="5" t="s">
        <v>3622</v>
      </c>
    </row>
    <row r="1637" spans="35:37">
      <c r="AI1637" s="468">
        <v>44009</v>
      </c>
      <c r="AJ1637" s="5" t="s">
        <v>3619</v>
      </c>
      <c r="AK1637" s="5" t="s">
        <v>3623</v>
      </c>
    </row>
    <row r="1638" spans="35:37">
      <c r="AI1638" s="468">
        <v>44010</v>
      </c>
      <c r="AJ1638" s="5" t="s">
        <v>3621</v>
      </c>
      <c r="AK1638" s="5" t="s">
        <v>3625</v>
      </c>
    </row>
    <row r="1639" spans="35:37">
      <c r="AI1639" s="468">
        <v>44011</v>
      </c>
      <c r="AJ1639" s="5" t="s">
        <v>3579</v>
      </c>
      <c r="AK1639" s="5" t="s">
        <v>3627</v>
      </c>
    </row>
    <row r="1640" spans="35:37">
      <c r="AI1640" s="468">
        <v>44012</v>
      </c>
      <c r="AJ1640" s="5" t="s">
        <v>3624</v>
      </c>
      <c r="AK1640" s="5" t="s">
        <v>3618</v>
      </c>
    </row>
    <row r="1641" spans="35:37">
      <c r="AI1641" s="468">
        <v>44013</v>
      </c>
      <c r="AJ1641" s="5" t="s">
        <v>3626</v>
      </c>
      <c r="AK1641" s="5" t="s">
        <v>3620</v>
      </c>
    </row>
    <row r="1642" spans="35:37">
      <c r="AI1642" s="468">
        <v>44014</v>
      </c>
      <c r="AJ1642" s="5" t="s">
        <v>3628</v>
      </c>
      <c r="AK1642" s="5" t="s">
        <v>3622</v>
      </c>
    </row>
    <row r="1643" spans="35:37">
      <c r="AI1643" s="468">
        <v>44015</v>
      </c>
      <c r="AJ1643" s="5" t="s">
        <v>3617</v>
      </c>
      <c r="AK1643" s="5" t="s">
        <v>3623</v>
      </c>
    </row>
    <row r="1644" spans="35:37">
      <c r="AI1644" s="468">
        <v>44016</v>
      </c>
      <c r="AJ1644" s="5" t="s">
        <v>3619</v>
      </c>
      <c r="AK1644" s="5" t="s">
        <v>3625</v>
      </c>
    </row>
    <row r="1645" spans="35:37">
      <c r="AI1645" s="468">
        <v>44017</v>
      </c>
      <c r="AJ1645" s="5" t="s">
        <v>3621</v>
      </c>
      <c r="AK1645" s="5" t="s">
        <v>3627</v>
      </c>
    </row>
    <row r="1646" spans="35:37">
      <c r="AI1646" s="468">
        <v>44018</v>
      </c>
      <c r="AJ1646" s="5" t="s">
        <v>3579</v>
      </c>
      <c r="AK1646" s="5" t="s">
        <v>3618</v>
      </c>
    </row>
    <row r="1647" spans="35:37">
      <c r="AI1647" s="468">
        <v>44019</v>
      </c>
      <c r="AJ1647" s="5" t="s">
        <v>3624</v>
      </c>
      <c r="AK1647" s="5" t="s">
        <v>3620</v>
      </c>
    </row>
    <row r="1648" spans="35:37">
      <c r="AI1648" s="468">
        <v>44020</v>
      </c>
      <c r="AJ1648" s="5" t="s">
        <v>3626</v>
      </c>
      <c r="AK1648" s="5" t="s">
        <v>3622</v>
      </c>
    </row>
    <row r="1649" spans="35:37">
      <c r="AI1649" s="468">
        <v>44021</v>
      </c>
      <c r="AJ1649" s="5" t="s">
        <v>3628</v>
      </c>
      <c r="AK1649" s="5" t="s">
        <v>3623</v>
      </c>
    </row>
    <row r="1650" spans="35:37">
      <c r="AI1650" s="468">
        <v>44022</v>
      </c>
      <c r="AJ1650" s="5" t="s">
        <v>3617</v>
      </c>
      <c r="AK1650" s="5" t="s">
        <v>3625</v>
      </c>
    </row>
    <row r="1651" spans="35:37">
      <c r="AI1651" s="468">
        <v>44023</v>
      </c>
      <c r="AJ1651" s="5" t="s">
        <v>3619</v>
      </c>
      <c r="AK1651" s="5" t="s">
        <v>3627</v>
      </c>
    </row>
    <row r="1652" spans="35:37">
      <c r="AI1652" s="468">
        <v>44024</v>
      </c>
      <c r="AJ1652" s="5" t="s">
        <v>3621</v>
      </c>
      <c r="AK1652" s="5" t="s">
        <v>3618</v>
      </c>
    </row>
    <row r="1653" spans="35:37">
      <c r="AI1653" s="468">
        <v>44025</v>
      </c>
      <c r="AJ1653" s="5" t="s">
        <v>3579</v>
      </c>
      <c r="AK1653" s="5" t="s">
        <v>3620</v>
      </c>
    </row>
    <row r="1654" spans="35:37">
      <c r="AI1654" s="468">
        <v>44026</v>
      </c>
      <c r="AJ1654" s="5" t="s">
        <v>3624</v>
      </c>
      <c r="AK1654" s="5" t="s">
        <v>3622</v>
      </c>
    </row>
    <row r="1655" spans="35:37">
      <c r="AI1655" s="468">
        <v>44027</v>
      </c>
      <c r="AJ1655" s="5" t="s">
        <v>3626</v>
      </c>
      <c r="AK1655" s="5" t="s">
        <v>3623</v>
      </c>
    </row>
    <row r="1656" spans="35:37">
      <c r="AI1656" s="468">
        <v>44028</v>
      </c>
      <c r="AJ1656" s="5" t="s">
        <v>3628</v>
      </c>
      <c r="AK1656" s="5" t="s">
        <v>3625</v>
      </c>
    </row>
    <row r="1657" spans="35:37">
      <c r="AI1657" s="468">
        <v>44029</v>
      </c>
      <c r="AJ1657" s="5" t="s">
        <v>3617</v>
      </c>
      <c r="AK1657" s="5" t="s">
        <v>3627</v>
      </c>
    </row>
    <row r="1658" spans="35:37">
      <c r="AI1658" s="468">
        <v>44030</v>
      </c>
      <c r="AJ1658" s="5" t="s">
        <v>3619</v>
      </c>
      <c r="AK1658" s="5" t="s">
        <v>3618</v>
      </c>
    </row>
    <row r="1659" spans="35:37">
      <c r="AI1659" s="468">
        <v>44031</v>
      </c>
      <c r="AJ1659" s="5" t="s">
        <v>3621</v>
      </c>
      <c r="AK1659" s="5" t="s">
        <v>3620</v>
      </c>
    </row>
    <row r="1660" spans="35:37">
      <c r="AI1660" s="468">
        <v>44032</v>
      </c>
      <c r="AJ1660" s="5" t="s">
        <v>3579</v>
      </c>
      <c r="AK1660" s="5" t="s">
        <v>3622</v>
      </c>
    </row>
    <row r="1661" spans="35:37">
      <c r="AI1661" s="468">
        <v>44033</v>
      </c>
      <c r="AJ1661" s="5" t="s">
        <v>3624</v>
      </c>
      <c r="AK1661" s="5" t="s">
        <v>3625</v>
      </c>
    </row>
    <row r="1662" spans="35:37">
      <c r="AI1662" s="468">
        <v>44034</v>
      </c>
      <c r="AJ1662" s="5" t="s">
        <v>3626</v>
      </c>
      <c r="AK1662" s="5" t="s">
        <v>3627</v>
      </c>
    </row>
    <row r="1663" spans="35:37">
      <c r="AI1663" s="468">
        <v>44035</v>
      </c>
      <c r="AJ1663" s="5" t="s">
        <v>3628</v>
      </c>
      <c r="AK1663" s="5" t="s">
        <v>3618</v>
      </c>
    </row>
    <row r="1664" spans="35:37">
      <c r="AI1664" s="468">
        <v>44036</v>
      </c>
      <c r="AJ1664" s="5" t="s">
        <v>3617</v>
      </c>
      <c r="AK1664" s="5" t="s">
        <v>3620</v>
      </c>
    </row>
    <row r="1665" spans="35:37">
      <c r="AI1665" s="468">
        <v>44037</v>
      </c>
      <c r="AJ1665" s="5" t="s">
        <v>3619</v>
      </c>
      <c r="AK1665" s="5" t="s">
        <v>3622</v>
      </c>
    </row>
    <row r="1666" spans="35:37">
      <c r="AI1666" s="468">
        <v>44038</v>
      </c>
      <c r="AJ1666" s="5" t="s">
        <v>3621</v>
      </c>
      <c r="AK1666" s="5" t="s">
        <v>3623</v>
      </c>
    </row>
    <row r="1667" spans="35:37">
      <c r="AI1667" s="468">
        <v>44039</v>
      </c>
      <c r="AJ1667" s="5" t="s">
        <v>3579</v>
      </c>
      <c r="AK1667" s="5" t="s">
        <v>3625</v>
      </c>
    </row>
    <row r="1668" spans="35:37">
      <c r="AI1668" s="468">
        <v>44040</v>
      </c>
      <c r="AJ1668" s="5" t="s">
        <v>3624</v>
      </c>
      <c r="AK1668" s="5" t="s">
        <v>3627</v>
      </c>
    </row>
    <row r="1669" spans="35:37">
      <c r="AI1669" s="468">
        <v>44041</v>
      </c>
      <c r="AJ1669" s="5" t="s">
        <v>3626</v>
      </c>
      <c r="AK1669" s="5" t="s">
        <v>3618</v>
      </c>
    </row>
    <row r="1670" spans="35:37">
      <c r="AI1670" s="468">
        <v>44042</v>
      </c>
      <c r="AJ1670" s="5" t="s">
        <v>3628</v>
      </c>
      <c r="AK1670" s="5" t="s">
        <v>3620</v>
      </c>
    </row>
    <row r="1671" spans="35:37">
      <c r="AI1671" s="468">
        <v>44043</v>
      </c>
      <c r="AJ1671" s="5" t="s">
        <v>3617</v>
      </c>
      <c r="AK1671" s="5" t="s">
        <v>3622</v>
      </c>
    </row>
    <row r="1672" spans="35:37">
      <c r="AI1672" s="468">
        <v>44044</v>
      </c>
      <c r="AJ1672" s="5" t="s">
        <v>3619</v>
      </c>
      <c r="AK1672" s="5" t="s">
        <v>3623</v>
      </c>
    </row>
    <row r="1673" spans="35:37">
      <c r="AI1673" s="468">
        <v>44045</v>
      </c>
      <c r="AJ1673" s="5" t="s">
        <v>3621</v>
      </c>
      <c r="AK1673" s="5" t="s">
        <v>3625</v>
      </c>
    </row>
    <row r="1674" spans="35:37">
      <c r="AI1674" s="468">
        <v>44046</v>
      </c>
      <c r="AJ1674" s="5" t="s">
        <v>3579</v>
      </c>
      <c r="AK1674" s="5" t="s">
        <v>3627</v>
      </c>
    </row>
    <row r="1675" spans="35:37">
      <c r="AI1675" s="468">
        <v>44047</v>
      </c>
      <c r="AJ1675" s="5" t="s">
        <v>3624</v>
      </c>
      <c r="AK1675" s="5" t="s">
        <v>3618</v>
      </c>
    </row>
    <row r="1676" spans="35:37">
      <c r="AI1676" s="468">
        <v>44048</v>
      </c>
      <c r="AJ1676" s="5" t="s">
        <v>3626</v>
      </c>
      <c r="AK1676" s="5" t="s">
        <v>3620</v>
      </c>
    </row>
    <row r="1677" spans="35:37">
      <c r="AI1677" s="468">
        <v>44049</v>
      </c>
      <c r="AJ1677" s="5" t="s">
        <v>3628</v>
      </c>
      <c r="AK1677" s="5" t="s">
        <v>3622</v>
      </c>
    </row>
    <row r="1678" spans="35:37">
      <c r="AI1678" s="468">
        <v>44050</v>
      </c>
      <c r="AJ1678" s="5" t="s">
        <v>3617</v>
      </c>
      <c r="AK1678" s="5" t="s">
        <v>3623</v>
      </c>
    </row>
    <row r="1679" spans="35:37">
      <c r="AI1679" s="468">
        <v>44051</v>
      </c>
      <c r="AJ1679" s="5" t="s">
        <v>3619</v>
      </c>
      <c r="AK1679" s="5" t="s">
        <v>3625</v>
      </c>
    </row>
    <row r="1680" spans="35:37">
      <c r="AI1680" s="468">
        <v>44052</v>
      </c>
      <c r="AJ1680" s="5" t="s">
        <v>3621</v>
      </c>
      <c r="AK1680" s="5" t="s">
        <v>3627</v>
      </c>
    </row>
    <row r="1681" spans="35:37">
      <c r="AI1681" s="468">
        <v>44053</v>
      </c>
      <c r="AJ1681" s="5" t="s">
        <v>3579</v>
      </c>
      <c r="AK1681" s="5" t="s">
        <v>3618</v>
      </c>
    </row>
    <row r="1682" spans="35:37">
      <c r="AI1682" s="468">
        <v>44054</v>
      </c>
      <c r="AJ1682" s="5" t="s">
        <v>3624</v>
      </c>
      <c r="AK1682" s="5" t="s">
        <v>3620</v>
      </c>
    </row>
    <row r="1683" spans="35:37">
      <c r="AI1683" s="468">
        <v>44055</v>
      </c>
      <c r="AJ1683" s="5" t="s">
        <v>3626</v>
      </c>
      <c r="AK1683" s="5" t="s">
        <v>3622</v>
      </c>
    </row>
    <row r="1684" spans="35:37">
      <c r="AI1684" s="468">
        <v>44056</v>
      </c>
      <c r="AJ1684" s="5" t="s">
        <v>3628</v>
      </c>
      <c r="AK1684" s="5" t="s">
        <v>3623</v>
      </c>
    </row>
    <row r="1685" spans="35:37">
      <c r="AI1685" s="468">
        <v>44057</v>
      </c>
      <c r="AJ1685" s="5" t="s">
        <v>3617</v>
      </c>
      <c r="AK1685" s="5" t="s">
        <v>3625</v>
      </c>
    </row>
    <row r="1686" spans="35:37">
      <c r="AI1686" s="468">
        <v>44058</v>
      </c>
      <c r="AJ1686" s="5" t="s">
        <v>3619</v>
      </c>
      <c r="AK1686" s="5" t="s">
        <v>3627</v>
      </c>
    </row>
    <row r="1687" spans="35:37">
      <c r="AI1687" s="468">
        <v>44059</v>
      </c>
      <c r="AJ1687" s="5" t="s">
        <v>3621</v>
      </c>
      <c r="AK1687" s="5" t="s">
        <v>3618</v>
      </c>
    </row>
    <row r="1688" spans="35:37">
      <c r="AI1688" s="468">
        <v>44060</v>
      </c>
      <c r="AJ1688" s="5" t="s">
        <v>3579</v>
      </c>
      <c r="AK1688" s="5" t="s">
        <v>3620</v>
      </c>
    </row>
    <row r="1689" spans="35:37">
      <c r="AI1689" s="468">
        <v>44061</v>
      </c>
      <c r="AJ1689" s="5" t="s">
        <v>3624</v>
      </c>
      <c r="AK1689" s="5" t="s">
        <v>3622</v>
      </c>
    </row>
    <row r="1690" spans="35:37">
      <c r="AI1690" s="468">
        <v>44062</v>
      </c>
      <c r="AJ1690" s="5" t="s">
        <v>3626</v>
      </c>
      <c r="AK1690" s="5" t="s">
        <v>3627</v>
      </c>
    </row>
    <row r="1691" spans="35:37">
      <c r="AI1691" s="468">
        <v>44063</v>
      </c>
      <c r="AJ1691" s="5" t="s">
        <v>3628</v>
      </c>
      <c r="AK1691" s="5" t="s">
        <v>3618</v>
      </c>
    </row>
    <row r="1692" spans="35:37">
      <c r="AI1692" s="468">
        <v>44064</v>
      </c>
      <c r="AJ1692" s="5" t="s">
        <v>3617</v>
      </c>
      <c r="AK1692" s="5" t="s">
        <v>3620</v>
      </c>
    </row>
    <row r="1693" spans="35:37">
      <c r="AI1693" s="468">
        <v>44065</v>
      </c>
      <c r="AJ1693" s="5" t="s">
        <v>3619</v>
      </c>
      <c r="AK1693" s="5" t="s">
        <v>3622</v>
      </c>
    </row>
    <row r="1694" spans="35:37">
      <c r="AI1694" s="468">
        <v>44066</v>
      </c>
      <c r="AJ1694" s="5" t="s">
        <v>3621</v>
      </c>
      <c r="AK1694" s="5" t="s">
        <v>3623</v>
      </c>
    </row>
    <row r="1695" spans="35:37">
      <c r="AI1695" s="468">
        <v>44067</v>
      </c>
      <c r="AJ1695" s="5" t="s">
        <v>3579</v>
      </c>
      <c r="AK1695" s="5" t="s">
        <v>3625</v>
      </c>
    </row>
    <row r="1696" spans="35:37">
      <c r="AI1696" s="468">
        <v>44068</v>
      </c>
      <c r="AJ1696" s="5" t="s">
        <v>3624</v>
      </c>
      <c r="AK1696" s="5" t="s">
        <v>3627</v>
      </c>
    </row>
    <row r="1697" spans="35:37">
      <c r="AI1697" s="468">
        <v>44069</v>
      </c>
      <c r="AJ1697" s="5" t="s">
        <v>3626</v>
      </c>
      <c r="AK1697" s="5" t="s">
        <v>3618</v>
      </c>
    </row>
    <row r="1698" spans="35:37">
      <c r="AI1698" s="468">
        <v>44070</v>
      </c>
      <c r="AJ1698" s="5" t="s">
        <v>3628</v>
      </c>
      <c r="AK1698" s="5" t="s">
        <v>3620</v>
      </c>
    </row>
    <row r="1699" spans="35:37">
      <c r="AI1699" s="468">
        <v>44071</v>
      </c>
      <c r="AJ1699" s="5" t="s">
        <v>3617</v>
      </c>
      <c r="AK1699" s="5" t="s">
        <v>3622</v>
      </c>
    </row>
    <row r="1700" spans="35:37">
      <c r="AI1700" s="468">
        <v>44072</v>
      </c>
      <c r="AJ1700" s="5" t="s">
        <v>3619</v>
      </c>
      <c r="AK1700" s="5" t="s">
        <v>3623</v>
      </c>
    </row>
    <row r="1701" spans="35:37">
      <c r="AI1701" s="468">
        <v>44073</v>
      </c>
      <c r="AJ1701" s="5" t="s">
        <v>3621</v>
      </c>
      <c r="AK1701" s="5" t="s">
        <v>3625</v>
      </c>
    </row>
    <row r="1702" spans="35:37">
      <c r="AI1702" s="468">
        <v>44074</v>
      </c>
      <c r="AJ1702" s="5" t="s">
        <v>3579</v>
      </c>
      <c r="AK1702" s="5" t="s">
        <v>3627</v>
      </c>
    </row>
    <row r="1703" spans="35:37">
      <c r="AI1703" s="468">
        <v>44075</v>
      </c>
      <c r="AJ1703" s="5" t="s">
        <v>3624</v>
      </c>
      <c r="AK1703" s="5" t="s">
        <v>3618</v>
      </c>
    </row>
    <row r="1704" spans="35:37">
      <c r="AI1704" s="468">
        <v>44076</v>
      </c>
      <c r="AJ1704" s="5" t="s">
        <v>3626</v>
      </c>
      <c r="AK1704" s="5" t="s">
        <v>3620</v>
      </c>
    </row>
    <row r="1705" spans="35:37">
      <c r="AI1705" s="468">
        <v>44077</v>
      </c>
      <c r="AJ1705" s="5" t="s">
        <v>3628</v>
      </c>
      <c r="AK1705" s="5" t="s">
        <v>3622</v>
      </c>
    </row>
    <row r="1706" spans="35:37">
      <c r="AI1706" s="468">
        <v>44078</v>
      </c>
      <c r="AJ1706" s="5" t="s">
        <v>3617</v>
      </c>
      <c r="AK1706" s="5" t="s">
        <v>3623</v>
      </c>
    </row>
    <row r="1707" spans="35:37">
      <c r="AI1707" s="468">
        <v>44079</v>
      </c>
      <c r="AJ1707" s="5" t="s">
        <v>3619</v>
      </c>
      <c r="AK1707" s="5" t="s">
        <v>3625</v>
      </c>
    </row>
    <row r="1708" spans="35:37">
      <c r="AI1708" s="468">
        <v>44080</v>
      </c>
      <c r="AJ1708" s="5" t="s">
        <v>3621</v>
      </c>
      <c r="AK1708" s="5" t="s">
        <v>3627</v>
      </c>
    </row>
    <row r="1709" spans="35:37">
      <c r="AI1709" s="468">
        <v>44081</v>
      </c>
      <c r="AJ1709" s="5" t="s">
        <v>3579</v>
      </c>
      <c r="AK1709" s="5" t="s">
        <v>3618</v>
      </c>
    </row>
    <row r="1710" spans="35:37">
      <c r="AI1710" s="468">
        <v>44082</v>
      </c>
      <c r="AJ1710" s="5" t="s">
        <v>3624</v>
      </c>
      <c r="AK1710" s="5" t="s">
        <v>3620</v>
      </c>
    </row>
    <row r="1711" spans="35:37">
      <c r="AI1711" s="468">
        <v>44083</v>
      </c>
      <c r="AJ1711" s="5" t="s">
        <v>3626</v>
      </c>
      <c r="AK1711" s="5" t="s">
        <v>3622</v>
      </c>
    </row>
    <row r="1712" spans="35:37">
      <c r="AI1712" s="468">
        <v>44084</v>
      </c>
      <c r="AJ1712" s="5" t="s">
        <v>3628</v>
      </c>
      <c r="AK1712" s="5" t="s">
        <v>3623</v>
      </c>
    </row>
    <row r="1713" spans="35:37">
      <c r="AI1713" s="468">
        <v>44085</v>
      </c>
      <c r="AJ1713" s="5" t="s">
        <v>3617</v>
      </c>
      <c r="AK1713" s="5" t="s">
        <v>3625</v>
      </c>
    </row>
    <row r="1714" spans="35:37">
      <c r="AI1714" s="468">
        <v>44086</v>
      </c>
      <c r="AJ1714" s="5" t="s">
        <v>3619</v>
      </c>
      <c r="AK1714" s="5" t="s">
        <v>3627</v>
      </c>
    </row>
    <row r="1715" spans="35:37">
      <c r="AI1715" s="468">
        <v>44087</v>
      </c>
      <c r="AJ1715" s="5" t="s">
        <v>3621</v>
      </c>
      <c r="AK1715" s="5" t="s">
        <v>3618</v>
      </c>
    </row>
    <row r="1716" spans="35:37">
      <c r="AI1716" s="468">
        <v>44088</v>
      </c>
      <c r="AJ1716" s="5" t="s">
        <v>3579</v>
      </c>
      <c r="AK1716" s="5" t="s">
        <v>3620</v>
      </c>
    </row>
    <row r="1717" spans="35:37">
      <c r="AI1717" s="468">
        <v>44089</v>
      </c>
      <c r="AJ1717" s="5" t="s">
        <v>3624</v>
      </c>
      <c r="AK1717" s="5" t="s">
        <v>3622</v>
      </c>
    </row>
    <row r="1718" spans="35:37">
      <c r="AI1718" s="468">
        <v>44090</v>
      </c>
      <c r="AJ1718" s="5" t="s">
        <v>3626</v>
      </c>
      <c r="AK1718" s="5" t="s">
        <v>3623</v>
      </c>
    </row>
    <row r="1719" spans="35:37">
      <c r="AI1719" s="468">
        <v>44091</v>
      </c>
      <c r="AJ1719" s="5" t="s">
        <v>3628</v>
      </c>
      <c r="AK1719" s="5" t="s">
        <v>3618</v>
      </c>
    </row>
    <row r="1720" spans="35:37">
      <c r="AI1720" s="468">
        <v>44092</v>
      </c>
      <c r="AJ1720" s="5" t="s">
        <v>3617</v>
      </c>
      <c r="AK1720" s="5" t="s">
        <v>3620</v>
      </c>
    </row>
    <row r="1721" spans="35:37">
      <c r="AI1721" s="468">
        <v>44093</v>
      </c>
      <c r="AJ1721" s="5" t="s">
        <v>3619</v>
      </c>
      <c r="AK1721" s="5" t="s">
        <v>3622</v>
      </c>
    </row>
    <row r="1722" spans="35:37">
      <c r="AI1722" s="468">
        <v>44094</v>
      </c>
      <c r="AJ1722" s="5" t="s">
        <v>3621</v>
      </c>
      <c r="AK1722" s="5" t="s">
        <v>3623</v>
      </c>
    </row>
    <row r="1723" spans="35:37">
      <c r="AI1723" s="468">
        <v>44095</v>
      </c>
      <c r="AJ1723" s="5" t="s">
        <v>3579</v>
      </c>
      <c r="AK1723" s="5" t="s">
        <v>3625</v>
      </c>
    </row>
    <row r="1724" spans="35:37">
      <c r="AI1724" s="468">
        <v>44096</v>
      </c>
      <c r="AJ1724" s="5" t="s">
        <v>3624</v>
      </c>
      <c r="AK1724" s="5" t="s">
        <v>3627</v>
      </c>
    </row>
    <row r="1725" spans="35:37">
      <c r="AI1725" s="468">
        <v>44097</v>
      </c>
      <c r="AJ1725" s="5" t="s">
        <v>3626</v>
      </c>
      <c r="AK1725" s="5" t="s">
        <v>3618</v>
      </c>
    </row>
    <row r="1726" spans="35:37">
      <c r="AI1726" s="468">
        <v>44098</v>
      </c>
      <c r="AJ1726" s="5" t="s">
        <v>3628</v>
      </c>
      <c r="AK1726" s="5" t="s">
        <v>3620</v>
      </c>
    </row>
    <row r="1727" spans="35:37">
      <c r="AI1727" s="468">
        <v>44099</v>
      </c>
      <c r="AJ1727" s="5" t="s">
        <v>3617</v>
      </c>
      <c r="AK1727" s="5" t="s">
        <v>3622</v>
      </c>
    </row>
    <row r="1728" spans="35:37">
      <c r="AI1728" s="468">
        <v>44100</v>
      </c>
      <c r="AJ1728" s="5" t="s">
        <v>3619</v>
      </c>
      <c r="AK1728" s="5" t="s">
        <v>3623</v>
      </c>
    </row>
    <row r="1729" spans="35:37">
      <c r="AI1729" s="468">
        <v>44101</v>
      </c>
      <c r="AJ1729" s="5" t="s">
        <v>3621</v>
      </c>
      <c r="AK1729" s="5" t="s">
        <v>3625</v>
      </c>
    </row>
    <row r="1730" spans="35:37">
      <c r="AI1730" s="468">
        <v>44102</v>
      </c>
      <c r="AJ1730" s="5" t="s">
        <v>3579</v>
      </c>
      <c r="AK1730" s="5" t="s">
        <v>3627</v>
      </c>
    </row>
    <row r="1731" spans="35:37">
      <c r="AI1731" s="468">
        <v>44103</v>
      </c>
      <c r="AJ1731" s="5" t="s">
        <v>3624</v>
      </c>
      <c r="AK1731" s="5" t="s">
        <v>3618</v>
      </c>
    </row>
    <row r="1732" spans="35:37">
      <c r="AI1732" s="468">
        <v>44104</v>
      </c>
      <c r="AJ1732" s="5" t="s">
        <v>3626</v>
      </c>
      <c r="AK1732" s="5" t="s">
        <v>3620</v>
      </c>
    </row>
    <row r="1733" spans="35:37">
      <c r="AI1733" s="468">
        <v>44105</v>
      </c>
      <c r="AJ1733" s="5" t="s">
        <v>3628</v>
      </c>
      <c r="AK1733" s="5" t="s">
        <v>3622</v>
      </c>
    </row>
    <row r="1734" spans="35:37">
      <c r="AI1734" s="468">
        <v>44106</v>
      </c>
      <c r="AJ1734" s="5" t="s">
        <v>3617</v>
      </c>
      <c r="AK1734" s="5" t="s">
        <v>3623</v>
      </c>
    </row>
    <row r="1735" spans="35:37">
      <c r="AI1735" s="468">
        <v>44107</v>
      </c>
      <c r="AJ1735" s="5" t="s">
        <v>3619</v>
      </c>
      <c r="AK1735" s="5" t="s">
        <v>3625</v>
      </c>
    </row>
    <row r="1736" spans="35:37">
      <c r="AI1736" s="468">
        <v>44108</v>
      </c>
      <c r="AJ1736" s="5" t="s">
        <v>3621</v>
      </c>
      <c r="AK1736" s="5" t="s">
        <v>3627</v>
      </c>
    </row>
    <row r="1737" spans="35:37">
      <c r="AI1737" s="468">
        <v>44109</v>
      </c>
      <c r="AJ1737" s="5" t="s">
        <v>3579</v>
      </c>
      <c r="AK1737" s="5" t="s">
        <v>3618</v>
      </c>
    </row>
    <row r="1738" spans="35:37">
      <c r="AI1738" s="468">
        <v>44110</v>
      </c>
      <c r="AJ1738" s="5" t="s">
        <v>3624</v>
      </c>
      <c r="AK1738" s="5" t="s">
        <v>3620</v>
      </c>
    </row>
    <row r="1739" spans="35:37">
      <c r="AI1739" s="468">
        <v>44111</v>
      </c>
      <c r="AJ1739" s="5" t="s">
        <v>3626</v>
      </c>
      <c r="AK1739" s="5" t="s">
        <v>3622</v>
      </c>
    </row>
    <row r="1740" spans="35:37">
      <c r="AI1740" s="468">
        <v>44112</v>
      </c>
      <c r="AJ1740" s="5" t="s">
        <v>3628</v>
      </c>
      <c r="AK1740" s="5" t="s">
        <v>3623</v>
      </c>
    </row>
    <row r="1741" spans="35:37">
      <c r="AI1741" s="468">
        <v>44113</v>
      </c>
      <c r="AJ1741" s="5" t="s">
        <v>3617</v>
      </c>
      <c r="AK1741" s="5" t="s">
        <v>3625</v>
      </c>
    </row>
    <row r="1742" spans="35:37">
      <c r="AI1742" s="468">
        <v>44114</v>
      </c>
      <c r="AJ1742" s="5" t="s">
        <v>3619</v>
      </c>
      <c r="AK1742" s="5" t="s">
        <v>3627</v>
      </c>
    </row>
    <row r="1743" spans="35:37">
      <c r="AI1743" s="468">
        <v>44115</v>
      </c>
      <c r="AJ1743" s="5" t="s">
        <v>3621</v>
      </c>
      <c r="AK1743" s="5" t="s">
        <v>3618</v>
      </c>
    </row>
    <row r="1744" spans="35:37">
      <c r="AI1744" s="468">
        <v>44116</v>
      </c>
      <c r="AJ1744" s="5" t="s">
        <v>3579</v>
      </c>
      <c r="AK1744" s="5" t="s">
        <v>3620</v>
      </c>
    </row>
    <row r="1745" spans="35:37">
      <c r="AI1745" s="468">
        <v>44117</v>
      </c>
      <c r="AJ1745" s="5" t="s">
        <v>3624</v>
      </c>
      <c r="AK1745" s="5" t="s">
        <v>3622</v>
      </c>
    </row>
    <row r="1746" spans="35:37">
      <c r="AI1746" s="468">
        <v>44118</v>
      </c>
      <c r="AJ1746" s="5" t="s">
        <v>3626</v>
      </c>
      <c r="AK1746" s="5" t="s">
        <v>3623</v>
      </c>
    </row>
    <row r="1747" spans="35:37">
      <c r="AI1747" s="468">
        <v>44119</v>
      </c>
      <c r="AJ1747" s="5" t="s">
        <v>3628</v>
      </c>
      <c r="AK1747" s="5" t="s">
        <v>3625</v>
      </c>
    </row>
    <row r="1748" spans="35:37">
      <c r="AI1748" s="468">
        <v>44120</v>
      </c>
      <c r="AJ1748" s="5" t="s">
        <v>3617</v>
      </c>
      <c r="AK1748" s="5" t="s">
        <v>3627</v>
      </c>
    </row>
    <row r="1749" spans="35:37">
      <c r="AI1749" s="468">
        <v>44121</v>
      </c>
      <c r="AJ1749" s="5" t="s">
        <v>3619</v>
      </c>
      <c r="AK1749" s="5" t="s">
        <v>3620</v>
      </c>
    </row>
    <row r="1750" spans="35:37">
      <c r="AI1750" s="468">
        <v>44122</v>
      </c>
      <c r="AJ1750" s="5" t="s">
        <v>3621</v>
      </c>
      <c r="AK1750" s="5" t="s">
        <v>3622</v>
      </c>
    </row>
    <row r="1751" spans="35:37">
      <c r="AI1751" s="468">
        <v>44123</v>
      </c>
      <c r="AJ1751" s="5" t="s">
        <v>3579</v>
      </c>
      <c r="AK1751" s="5" t="s">
        <v>3623</v>
      </c>
    </row>
    <row r="1752" spans="35:37">
      <c r="AI1752" s="468">
        <v>44124</v>
      </c>
      <c r="AJ1752" s="5" t="s">
        <v>3624</v>
      </c>
      <c r="AK1752" s="5" t="s">
        <v>3625</v>
      </c>
    </row>
    <row r="1753" spans="35:37">
      <c r="AI1753" s="468">
        <v>44125</v>
      </c>
      <c r="AJ1753" s="5" t="s">
        <v>3626</v>
      </c>
      <c r="AK1753" s="5" t="s">
        <v>3627</v>
      </c>
    </row>
    <row r="1754" spans="35:37">
      <c r="AI1754" s="468">
        <v>44126</v>
      </c>
      <c r="AJ1754" s="5" t="s">
        <v>3628</v>
      </c>
      <c r="AK1754" s="5" t="s">
        <v>3618</v>
      </c>
    </row>
    <row r="1755" spans="35:37">
      <c r="AI1755" s="468">
        <v>44127</v>
      </c>
      <c r="AJ1755" s="5" t="s">
        <v>3617</v>
      </c>
      <c r="AK1755" s="5" t="s">
        <v>3620</v>
      </c>
    </row>
    <row r="1756" spans="35:37">
      <c r="AI1756" s="468">
        <v>44128</v>
      </c>
      <c r="AJ1756" s="5" t="s">
        <v>3619</v>
      </c>
      <c r="AK1756" s="5" t="s">
        <v>3622</v>
      </c>
    </row>
    <row r="1757" spans="35:37">
      <c r="AI1757" s="468">
        <v>44129</v>
      </c>
      <c r="AJ1757" s="5" t="s">
        <v>3621</v>
      </c>
      <c r="AK1757" s="5" t="s">
        <v>3623</v>
      </c>
    </row>
    <row r="1758" spans="35:37">
      <c r="AI1758" s="468">
        <v>44130</v>
      </c>
      <c r="AJ1758" s="5" t="s">
        <v>3579</v>
      </c>
      <c r="AK1758" s="5" t="s">
        <v>3625</v>
      </c>
    </row>
    <row r="1759" spans="35:37">
      <c r="AI1759" s="468">
        <v>44131</v>
      </c>
      <c r="AJ1759" s="5" t="s">
        <v>3624</v>
      </c>
      <c r="AK1759" s="5" t="s">
        <v>3627</v>
      </c>
    </row>
    <row r="1760" spans="35:37">
      <c r="AI1760" s="468">
        <v>44132</v>
      </c>
      <c r="AJ1760" s="5" t="s">
        <v>3626</v>
      </c>
      <c r="AK1760" s="5" t="s">
        <v>3618</v>
      </c>
    </row>
    <row r="1761" spans="35:37">
      <c r="AI1761" s="468">
        <v>44133</v>
      </c>
      <c r="AJ1761" s="5" t="s">
        <v>3628</v>
      </c>
      <c r="AK1761" s="5" t="s">
        <v>3620</v>
      </c>
    </row>
    <row r="1762" spans="35:37">
      <c r="AI1762" s="468">
        <v>44134</v>
      </c>
      <c r="AJ1762" s="5" t="s">
        <v>3617</v>
      </c>
      <c r="AK1762" s="5" t="s">
        <v>3622</v>
      </c>
    </row>
    <row r="1763" spans="35:37">
      <c r="AI1763" s="468">
        <v>44135</v>
      </c>
      <c r="AJ1763" s="5" t="s">
        <v>3619</v>
      </c>
      <c r="AK1763" s="5" t="s">
        <v>3623</v>
      </c>
    </row>
    <row r="1764" spans="35:37">
      <c r="AI1764" s="468">
        <v>44136</v>
      </c>
      <c r="AJ1764" s="5" t="s">
        <v>3621</v>
      </c>
      <c r="AK1764" s="5" t="s">
        <v>3625</v>
      </c>
    </row>
    <row r="1765" spans="35:37">
      <c r="AI1765" s="468">
        <v>44137</v>
      </c>
      <c r="AJ1765" s="5" t="s">
        <v>3579</v>
      </c>
      <c r="AK1765" s="5" t="s">
        <v>3627</v>
      </c>
    </row>
    <row r="1766" spans="35:37">
      <c r="AI1766" s="468">
        <v>44138</v>
      </c>
      <c r="AJ1766" s="5" t="s">
        <v>3624</v>
      </c>
      <c r="AK1766" s="5" t="s">
        <v>3618</v>
      </c>
    </row>
    <row r="1767" spans="35:37">
      <c r="AI1767" s="468">
        <v>44139</v>
      </c>
      <c r="AJ1767" s="5" t="s">
        <v>3626</v>
      </c>
      <c r="AK1767" s="5" t="s">
        <v>3620</v>
      </c>
    </row>
    <row r="1768" spans="35:37">
      <c r="AI1768" s="468">
        <v>44140</v>
      </c>
      <c r="AJ1768" s="5" t="s">
        <v>3628</v>
      </c>
      <c r="AK1768" s="5" t="s">
        <v>3622</v>
      </c>
    </row>
    <row r="1769" spans="35:37">
      <c r="AI1769" s="468">
        <v>44141</v>
      </c>
      <c r="AJ1769" s="5" t="s">
        <v>3617</v>
      </c>
      <c r="AK1769" s="5" t="s">
        <v>3623</v>
      </c>
    </row>
    <row r="1770" spans="35:37">
      <c r="AI1770" s="468">
        <v>44142</v>
      </c>
      <c r="AJ1770" s="5" t="s">
        <v>3619</v>
      </c>
      <c r="AK1770" s="5" t="s">
        <v>3625</v>
      </c>
    </row>
    <row r="1771" spans="35:37">
      <c r="AI1771" s="468">
        <v>44143</v>
      </c>
      <c r="AJ1771" s="5" t="s">
        <v>3621</v>
      </c>
      <c r="AK1771" s="5" t="s">
        <v>3627</v>
      </c>
    </row>
    <row r="1772" spans="35:37">
      <c r="AI1772" s="468">
        <v>44144</v>
      </c>
      <c r="AJ1772" s="5" t="s">
        <v>3579</v>
      </c>
      <c r="AK1772" s="5" t="s">
        <v>3618</v>
      </c>
    </row>
    <row r="1773" spans="35:37">
      <c r="AI1773" s="468">
        <v>44145</v>
      </c>
      <c r="AJ1773" s="5" t="s">
        <v>3624</v>
      </c>
      <c r="AK1773" s="5" t="s">
        <v>3620</v>
      </c>
    </row>
    <row r="1774" spans="35:37">
      <c r="AI1774" s="468">
        <v>44146</v>
      </c>
      <c r="AJ1774" s="5" t="s">
        <v>3626</v>
      </c>
      <c r="AK1774" s="5" t="s">
        <v>3622</v>
      </c>
    </row>
    <row r="1775" spans="35:37">
      <c r="AI1775" s="468">
        <v>44147</v>
      </c>
      <c r="AJ1775" s="5" t="s">
        <v>3628</v>
      </c>
      <c r="AK1775" s="5" t="s">
        <v>3623</v>
      </c>
    </row>
    <row r="1776" spans="35:37">
      <c r="AI1776" s="468">
        <v>44148</v>
      </c>
      <c r="AJ1776" s="5" t="s">
        <v>3617</v>
      </c>
      <c r="AK1776" s="5" t="s">
        <v>3625</v>
      </c>
    </row>
    <row r="1777" spans="35:37">
      <c r="AI1777" s="468">
        <v>44149</v>
      </c>
      <c r="AJ1777" s="5" t="s">
        <v>3619</v>
      </c>
      <c r="AK1777" s="5" t="s">
        <v>3627</v>
      </c>
    </row>
    <row r="1778" spans="35:37">
      <c r="AI1778" s="468">
        <v>44150</v>
      </c>
      <c r="AJ1778" s="5" t="s">
        <v>3621</v>
      </c>
      <c r="AK1778" s="5" t="s">
        <v>3622</v>
      </c>
    </row>
    <row r="1779" spans="35:37">
      <c r="AI1779" s="468">
        <v>44151</v>
      </c>
      <c r="AJ1779" s="5" t="s">
        <v>3579</v>
      </c>
      <c r="AK1779" s="5" t="s">
        <v>3623</v>
      </c>
    </row>
    <row r="1780" spans="35:37">
      <c r="AI1780" s="468">
        <v>44152</v>
      </c>
      <c r="AJ1780" s="5" t="s">
        <v>3624</v>
      </c>
      <c r="AK1780" s="5" t="s">
        <v>3625</v>
      </c>
    </row>
    <row r="1781" spans="35:37">
      <c r="AI1781" s="468">
        <v>44153</v>
      </c>
      <c r="AJ1781" s="5" t="s">
        <v>3626</v>
      </c>
      <c r="AK1781" s="5" t="s">
        <v>3627</v>
      </c>
    </row>
    <row r="1782" spans="35:37">
      <c r="AI1782" s="468">
        <v>44154</v>
      </c>
      <c r="AJ1782" s="5" t="s">
        <v>3628</v>
      </c>
      <c r="AK1782" s="5" t="s">
        <v>3618</v>
      </c>
    </row>
    <row r="1783" spans="35:37">
      <c r="AI1783" s="468">
        <v>44155</v>
      </c>
      <c r="AJ1783" s="5" t="s">
        <v>3617</v>
      </c>
      <c r="AK1783" s="5" t="s">
        <v>3620</v>
      </c>
    </row>
    <row r="1784" spans="35:37">
      <c r="AI1784" s="468">
        <v>44156</v>
      </c>
      <c r="AJ1784" s="5" t="s">
        <v>3619</v>
      </c>
      <c r="AK1784" s="5" t="s">
        <v>3622</v>
      </c>
    </row>
    <row r="1785" spans="35:37">
      <c r="AI1785" s="468">
        <v>44157</v>
      </c>
      <c r="AJ1785" s="5" t="s">
        <v>3621</v>
      </c>
      <c r="AK1785" s="5" t="s">
        <v>3623</v>
      </c>
    </row>
    <row r="1786" spans="35:37">
      <c r="AI1786" s="468">
        <v>44158</v>
      </c>
      <c r="AJ1786" s="5" t="s">
        <v>3579</v>
      </c>
      <c r="AK1786" s="5" t="s">
        <v>3625</v>
      </c>
    </row>
    <row r="1787" spans="35:37">
      <c r="AI1787" s="468">
        <v>44159</v>
      </c>
      <c r="AJ1787" s="5" t="s">
        <v>3624</v>
      </c>
      <c r="AK1787" s="5" t="s">
        <v>3627</v>
      </c>
    </row>
    <row r="1788" spans="35:37">
      <c r="AI1788" s="468">
        <v>44160</v>
      </c>
      <c r="AJ1788" s="5" t="s">
        <v>3626</v>
      </c>
      <c r="AK1788" s="5" t="s">
        <v>3618</v>
      </c>
    </row>
    <row r="1789" spans="35:37">
      <c r="AI1789" s="468">
        <v>44161</v>
      </c>
      <c r="AJ1789" s="5" t="s">
        <v>3628</v>
      </c>
      <c r="AK1789" s="5" t="s">
        <v>3620</v>
      </c>
    </row>
    <row r="1790" spans="35:37">
      <c r="AI1790" s="468">
        <v>44162</v>
      </c>
      <c r="AJ1790" s="5" t="s">
        <v>3617</v>
      </c>
      <c r="AK1790" s="5" t="s">
        <v>3622</v>
      </c>
    </row>
    <row r="1791" spans="35:37">
      <c r="AI1791" s="468">
        <v>44163</v>
      </c>
      <c r="AJ1791" s="5" t="s">
        <v>3619</v>
      </c>
      <c r="AK1791" s="5" t="s">
        <v>3623</v>
      </c>
    </row>
    <row r="1792" spans="35:37">
      <c r="AI1792" s="468">
        <v>44164</v>
      </c>
      <c r="AJ1792" s="5" t="s">
        <v>3621</v>
      </c>
      <c r="AK1792" s="5" t="s">
        <v>3625</v>
      </c>
    </row>
    <row r="1793" spans="35:37">
      <c r="AI1793" s="468">
        <v>44165</v>
      </c>
      <c r="AJ1793" s="5" t="s">
        <v>3579</v>
      </c>
      <c r="AK1793" s="5" t="s">
        <v>3627</v>
      </c>
    </row>
    <row r="1794" spans="35:37">
      <c r="AI1794" s="468">
        <v>44166</v>
      </c>
      <c r="AJ1794" s="5" t="s">
        <v>3624</v>
      </c>
      <c r="AK1794" s="5" t="s">
        <v>3618</v>
      </c>
    </row>
    <row r="1795" spans="35:37">
      <c r="AI1795" s="468">
        <v>44167</v>
      </c>
      <c r="AJ1795" s="5" t="s">
        <v>3626</v>
      </c>
      <c r="AK1795" s="5" t="s">
        <v>3620</v>
      </c>
    </row>
    <row r="1796" spans="35:37">
      <c r="AI1796" s="468">
        <v>44168</v>
      </c>
      <c r="AJ1796" s="5" t="s">
        <v>3628</v>
      </c>
      <c r="AK1796" s="5" t="s">
        <v>3622</v>
      </c>
    </row>
    <row r="1797" spans="35:37">
      <c r="AI1797" s="468">
        <v>44169</v>
      </c>
      <c r="AJ1797" s="5" t="s">
        <v>3617</v>
      </c>
      <c r="AK1797" s="5" t="s">
        <v>3623</v>
      </c>
    </row>
    <row r="1798" spans="35:37">
      <c r="AI1798" s="468">
        <v>44170</v>
      </c>
      <c r="AJ1798" s="5" t="s">
        <v>3619</v>
      </c>
      <c r="AK1798" s="5" t="s">
        <v>3625</v>
      </c>
    </row>
    <row r="1799" spans="35:37">
      <c r="AI1799" s="468">
        <v>44171</v>
      </c>
      <c r="AJ1799" s="5" t="s">
        <v>3621</v>
      </c>
      <c r="AK1799" s="5" t="s">
        <v>3627</v>
      </c>
    </row>
    <row r="1800" spans="35:37">
      <c r="AI1800" s="468">
        <v>44172</v>
      </c>
      <c r="AJ1800" s="5" t="s">
        <v>3579</v>
      </c>
      <c r="AK1800" s="5" t="s">
        <v>3618</v>
      </c>
    </row>
    <row r="1801" spans="35:37">
      <c r="AI1801" s="468">
        <v>44173</v>
      </c>
      <c r="AJ1801" s="5" t="s">
        <v>3624</v>
      </c>
      <c r="AK1801" s="5" t="s">
        <v>3620</v>
      </c>
    </row>
    <row r="1802" spans="35:37">
      <c r="AI1802" s="468">
        <v>44174</v>
      </c>
      <c r="AJ1802" s="5" t="s">
        <v>3626</v>
      </c>
      <c r="AK1802" s="5" t="s">
        <v>3622</v>
      </c>
    </row>
    <row r="1803" spans="35:37">
      <c r="AI1803" s="468">
        <v>44175</v>
      </c>
      <c r="AJ1803" s="5" t="s">
        <v>3628</v>
      </c>
      <c r="AK1803" s="5" t="s">
        <v>3623</v>
      </c>
    </row>
    <row r="1804" spans="35:37">
      <c r="AI1804" s="468">
        <v>44176</v>
      </c>
      <c r="AJ1804" s="5" t="s">
        <v>3617</v>
      </c>
      <c r="AK1804" s="5" t="s">
        <v>3625</v>
      </c>
    </row>
    <row r="1805" spans="35:37">
      <c r="AI1805" s="468">
        <v>44177</v>
      </c>
      <c r="AJ1805" s="5" t="s">
        <v>3619</v>
      </c>
      <c r="AK1805" s="5" t="s">
        <v>3627</v>
      </c>
    </row>
    <row r="1806" spans="35:37">
      <c r="AI1806" s="468">
        <v>44178</v>
      </c>
      <c r="AJ1806" s="5" t="s">
        <v>3621</v>
      </c>
      <c r="AK1806" s="5" t="s">
        <v>3618</v>
      </c>
    </row>
    <row r="1807" spans="35:37">
      <c r="AI1807" s="468">
        <v>44179</v>
      </c>
      <c r="AJ1807" s="5" t="s">
        <v>3579</v>
      </c>
      <c r="AK1807" s="5" t="s">
        <v>3620</v>
      </c>
    </row>
    <row r="1808" spans="35:37">
      <c r="AI1808" s="468">
        <v>44180</v>
      </c>
      <c r="AJ1808" s="5" t="s">
        <v>3624</v>
      </c>
      <c r="AK1808" s="5" t="s">
        <v>3623</v>
      </c>
    </row>
    <row r="1809" spans="35:37">
      <c r="AI1809" s="468">
        <v>44181</v>
      </c>
      <c r="AJ1809" s="5" t="s">
        <v>3626</v>
      </c>
      <c r="AK1809" s="5" t="s">
        <v>3625</v>
      </c>
    </row>
    <row r="1810" spans="35:37">
      <c r="AI1810" s="468">
        <v>44182</v>
      </c>
      <c r="AJ1810" s="5" t="s">
        <v>3628</v>
      </c>
      <c r="AK1810" s="5" t="s">
        <v>3627</v>
      </c>
    </row>
    <row r="1811" spans="35:37">
      <c r="AI1811" s="468">
        <v>44183</v>
      </c>
      <c r="AJ1811" s="5" t="s">
        <v>3617</v>
      </c>
      <c r="AK1811" s="5" t="s">
        <v>3618</v>
      </c>
    </row>
    <row r="1812" spans="35:37">
      <c r="AI1812" s="468">
        <v>44184</v>
      </c>
      <c r="AJ1812" s="5" t="s">
        <v>3619</v>
      </c>
      <c r="AK1812" s="5" t="s">
        <v>3620</v>
      </c>
    </row>
    <row r="1813" spans="35:37">
      <c r="AI1813" s="468">
        <v>44185</v>
      </c>
      <c r="AJ1813" s="5" t="s">
        <v>3621</v>
      </c>
      <c r="AK1813" s="5" t="s">
        <v>3622</v>
      </c>
    </row>
    <row r="1814" spans="35:37">
      <c r="AI1814" s="468">
        <v>44186</v>
      </c>
      <c r="AJ1814" s="5" t="s">
        <v>3579</v>
      </c>
      <c r="AK1814" s="5" t="s">
        <v>3623</v>
      </c>
    </row>
    <row r="1815" spans="35:37">
      <c r="AI1815" s="468">
        <v>44187</v>
      </c>
      <c r="AJ1815" s="5" t="s">
        <v>3624</v>
      </c>
      <c r="AK1815" s="5" t="s">
        <v>3625</v>
      </c>
    </row>
    <row r="1816" spans="35:37">
      <c r="AI1816" s="468">
        <v>44188</v>
      </c>
      <c r="AJ1816" s="5" t="s">
        <v>3626</v>
      </c>
      <c r="AK1816" s="5" t="s">
        <v>3627</v>
      </c>
    </row>
    <row r="1817" spans="35:37">
      <c r="AI1817" s="468">
        <v>44189</v>
      </c>
      <c r="AJ1817" s="5" t="s">
        <v>3628</v>
      </c>
      <c r="AK1817" s="5" t="s">
        <v>3618</v>
      </c>
    </row>
    <row r="1818" spans="35:37">
      <c r="AI1818" s="468">
        <v>44190</v>
      </c>
      <c r="AJ1818" s="5" t="s">
        <v>3617</v>
      </c>
      <c r="AK1818" s="5" t="s">
        <v>3620</v>
      </c>
    </row>
    <row r="1819" spans="35:37">
      <c r="AI1819" s="468">
        <v>44191</v>
      </c>
      <c r="AJ1819" s="5" t="s">
        <v>3619</v>
      </c>
      <c r="AK1819" s="5" t="s">
        <v>3622</v>
      </c>
    </row>
    <row r="1820" spans="35:37">
      <c r="AI1820" s="468">
        <v>44192</v>
      </c>
      <c r="AJ1820" s="5" t="s">
        <v>3621</v>
      </c>
      <c r="AK1820" s="5" t="s">
        <v>3623</v>
      </c>
    </row>
    <row r="1821" spans="35:37">
      <c r="AI1821" s="468">
        <v>44193</v>
      </c>
      <c r="AJ1821" s="5" t="s">
        <v>3579</v>
      </c>
      <c r="AK1821" s="5" t="s">
        <v>3625</v>
      </c>
    </row>
    <row r="1822" spans="35:37">
      <c r="AI1822" s="468">
        <v>44194</v>
      </c>
      <c r="AJ1822" s="5" t="s">
        <v>3624</v>
      </c>
      <c r="AK1822" s="5" t="s">
        <v>3627</v>
      </c>
    </row>
    <row r="1823" spans="35:37">
      <c r="AI1823" s="468">
        <v>44195</v>
      </c>
      <c r="AJ1823" s="5" t="s">
        <v>3626</v>
      </c>
      <c r="AK1823" s="5" t="s">
        <v>3618</v>
      </c>
    </row>
    <row r="1824" spans="35:37">
      <c r="AI1824" s="468">
        <v>44196</v>
      </c>
      <c r="AJ1824" s="5" t="s">
        <v>3628</v>
      </c>
      <c r="AK1824" s="5" t="s">
        <v>3620</v>
      </c>
    </row>
    <row r="1825" spans="35:37">
      <c r="AI1825" s="468">
        <v>44197</v>
      </c>
      <c r="AJ1825" s="5" t="s">
        <v>3617</v>
      </c>
      <c r="AK1825" s="5" t="s">
        <v>3622</v>
      </c>
    </row>
    <row r="1826" spans="35:37">
      <c r="AI1826" s="468">
        <v>44198</v>
      </c>
      <c r="AJ1826" s="5" t="s">
        <v>3619</v>
      </c>
      <c r="AK1826" s="5" t="s">
        <v>3623</v>
      </c>
    </row>
    <row r="1827" spans="35:37">
      <c r="AI1827" s="468">
        <v>44199</v>
      </c>
      <c r="AJ1827" s="5" t="s">
        <v>3621</v>
      </c>
      <c r="AK1827" s="5" t="s">
        <v>3625</v>
      </c>
    </row>
    <row r="1828" spans="35:37">
      <c r="AI1828" s="468">
        <v>44200</v>
      </c>
      <c r="AJ1828" s="5" t="s">
        <v>3579</v>
      </c>
      <c r="AK1828" s="5" t="s">
        <v>3627</v>
      </c>
    </row>
    <row r="1829" spans="35:37">
      <c r="AI1829" s="468">
        <v>44201</v>
      </c>
      <c r="AJ1829" s="5" t="s">
        <v>3624</v>
      </c>
      <c r="AK1829" s="5" t="s">
        <v>3618</v>
      </c>
    </row>
    <row r="1830" spans="35:37">
      <c r="AI1830" s="468">
        <v>44202</v>
      </c>
      <c r="AJ1830" s="5" t="s">
        <v>3626</v>
      </c>
      <c r="AK1830" s="5" t="s">
        <v>3620</v>
      </c>
    </row>
    <row r="1831" spans="35:37">
      <c r="AI1831" s="468">
        <v>44203</v>
      </c>
      <c r="AJ1831" s="5" t="s">
        <v>3628</v>
      </c>
      <c r="AK1831" s="5" t="s">
        <v>3622</v>
      </c>
    </row>
    <row r="1832" spans="35:37">
      <c r="AI1832" s="468">
        <v>44204</v>
      </c>
      <c r="AJ1832" s="5" t="s">
        <v>3617</v>
      </c>
      <c r="AK1832" s="5" t="s">
        <v>3623</v>
      </c>
    </row>
    <row r="1833" spans="35:37">
      <c r="AI1833" s="468">
        <v>44205</v>
      </c>
      <c r="AJ1833" s="5" t="s">
        <v>3619</v>
      </c>
      <c r="AK1833" s="5" t="s">
        <v>3625</v>
      </c>
    </row>
    <row r="1834" spans="35:37">
      <c r="AI1834" s="468">
        <v>44206</v>
      </c>
      <c r="AJ1834" s="5" t="s">
        <v>3621</v>
      </c>
      <c r="AK1834" s="5" t="s">
        <v>3627</v>
      </c>
    </row>
    <row r="1835" spans="35:37">
      <c r="AI1835" s="468">
        <v>44207</v>
      </c>
      <c r="AJ1835" s="5" t="s">
        <v>3579</v>
      </c>
      <c r="AK1835" s="5" t="s">
        <v>3618</v>
      </c>
    </row>
    <row r="1836" spans="35:37">
      <c r="AI1836" s="468">
        <v>44208</v>
      </c>
      <c r="AJ1836" s="5" t="s">
        <v>3624</v>
      </c>
      <c r="AK1836" s="5" t="s">
        <v>3620</v>
      </c>
    </row>
    <row r="1837" spans="35:37">
      <c r="AI1837" s="468">
        <v>44209</v>
      </c>
      <c r="AJ1837" s="5" t="s">
        <v>3626</v>
      </c>
      <c r="AK1837" s="5" t="s">
        <v>3625</v>
      </c>
    </row>
    <row r="1838" spans="35:37">
      <c r="AI1838" s="468">
        <v>44210</v>
      </c>
      <c r="AJ1838" s="5" t="s">
        <v>3628</v>
      </c>
      <c r="AK1838" s="5" t="s">
        <v>3627</v>
      </c>
    </row>
    <row r="1839" spans="35:37">
      <c r="AI1839" s="468">
        <v>44211</v>
      </c>
      <c r="AJ1839" s="5" t="s">
        <v>3617</v>
      </c>
      <c r="AK1839" s="5" t="s">
        <v>3618</v>
      </c>
    </row>
    <row r="1840" spans="35:37">
      <c r="AI1840" s="468">
        <v>44212</v>
      </c>
      <c r="AJ1840" s="5" t="s">
        <v>3619</v>
      </c>
      <c r="AK1840" s="5" t="s">
        <v>3620</v>
      </c>
    </row>
    <row r="1841" spans="35:37">
      <c r="AI1841" s="468">
        <v>44213</v>
      </c>
      <c r="AJ1841" s="5" t="s">
        <v>3621</v>
      </c>
      <c r="AK1841" s="5" t="s">
        <v>3622</v>
      </c>
    </row>
    <row r="1842" spans="35:37">
      <c r="AI1842" s="468">
        <v>44214</v>
      </c>
      <c r="AJ1842" s="5" t="s">
        <v>3579</v>
      </c>
      <c r="AK1842" s="5" t="s">
        <v>3623</v>
      </c>
    </row>
    <row r="1843" spans="35:37">
      <c r="AI1843" s="468">
        <v>44215</v>
      </c>
      <c r="AJ1843" s="5" t="s">
        <v>3624</v>
      </c>
      <c r="AK1843" s="5" t="s">
        <v>3625</v>
      </c>
    </row>
    <row r="1844" spans="35:37">
      <c r="AI1844" s="468">
        <v>44216</v>
      </c>
      <c r="AJ1844" s="5" t="s">
        <v>3626</v>
      </c>
      <c r="AK1844" s="5" t="s">
        <v>3627</v>
      </c>
    </row>
    <row r="1845" spans="35:37">
      <c r="AI1845" s="468">
        <v>44217</v>
      </c>
      <c r="AJ1845" s="5" t="s">
        <v>3628</v>
      </c>
      <c r="AK1845" s="5" t="s">
        <v>3618</v>
      </c>
    </row>
    <row r="1846" spans="35:37">
      <c r="AI1846" s="468">
        <v>44218</v>
      </c>
      <c r="AJ1846" s="5" t="s">
        <v>3617</v>
      </c>
      <c r="AK1846" s="5" t="s">
        <v>3620</v>
      </c>
    </row>
    <row r="1847" spans="35:37">
      <c r="AI1847" s="468">
        <v>44219</v>
      </c>
      <c r="AJ1847" s="5" t="s">
        <v>3619</v>
      </c>
      <c r="AK1847" s="5" t="s">
        <v>3622</v>
      </c>
    </row>
    <row r="1848" spans="35:37">
      <c r="AI1848" s="468">
        <v>44220</v>
      </c>
      <c r="AJ1848" s="5" t="s">
        <v>3621</v>
      </c>
      <c r="AK1848" s="5" t="s">
        <v>3623</v>
      </c>
    </row>
    <row r="1849" spans="35:37">
      <c r="AI1849" s="468">
        <v>44221</v>
      </c>
      <c r="AJ1849" s="5" t="s">
        <v>3579</v>
      </c>
      <c r="AK1849" s="5" t="s">
        <v>3625</v>
      </c>
    </row>
    <row r="1850" spans="35:37">
      <c r="AI1850" s="468">
        <v>44222</v>
      </c>
      <c r="AJ1850" s="5" t="s">
        <v>3624</v>
      </c>
      <c r="AK1850" s="5" t="s">
        <v>3627</v>
      </c>
    </row>
    <row r="1851" spans="35:37">
      <c r="AI1851" s="468">
        <v>44223</v>
      </c>
      <c r="AJ1851" s="5" t="s">
        <v>3626</v>
      </c>
      <c r="AK1851" s="5" t="s">
        <v>3618</v>
      </c>
    </row>
    <row r="1852" spans="35:37">
      <c r="AI1852" s="468">
        <v>44224</v>
      </c>
      <c r="AJ1852" s="5" t="s">
        <v>3628</v>
      </c>
      <c r="AK1852" s="5" t="s">
        <v>3620</v>
      </c>
    </row>
    <row r="1853" spans="35:37">
      <c r="AI1853" s="468">
        <v>44225</v>
      </c>
      <c r="AJ1853" s="5" t="s">
        <v>3617</v>
      </c>
      <c r="AK1853" s="5" t="s">
        <v>3622</v>
      </c>
    </row>
    <row r="1854" spans="35:37">
      <c r="AI1854" s="468">
        <v>44226</v>
      </c>
      <c r="AJ1854" s="5" t="s">
        <v>3619</v>
      </c>
      <c r="AK1854" s="5" t="s">
        <v>3623</v>
      </c>
    </row>
    <row r="1855" spans="35:37">
      <c r="AI1855" s="468">
        <v>44227</v>
      </c>
      <c r="AJ1855" s="5" t="s">
        <v>3621</v>
      </c>
      <c r="AK1855" s="5" t="s">
        <v>3625</v>
      </c>
    </row>
    <row r="1856" spans="35:37">
      <c r="AI1856" s="468">
        <v>44228</v>
      </c>
      <c r="AJ1856" s="5" t="s">
        <v>3579</v>
      </c>
      <c r="AK1856" s="5" t="s">
        <v>3627</v>
      </c>
    </row>
    <row r="1857" spans="35:37">
      <c r="AI1857" s="468">
        <v>44229</v>
      </c>
      <c r="AJ1857" s="5" t="s">
        <v>3624</v>
      </c>
      <c r="AK1857" s="5" t="s">
        <v>3618</v>
      </c>
    </row>
    <row r="1858" spans="35:37">
      <c r="AI1858" s="468">
        <v>44230</v>
      </c>
      <c r="AJ1858" s="5" t="s">
        <v>3626</v>
      </c>
      <c r="AK1858" s="5" t="s">
        <v>3620</v>
      </c>
    </row>
    <row r="1859" spans="35:37">
      <c r="AI1859" s="468">
        <v>44231</v>
      </c>
      <c r="AJ1859" s="5" t="s">
        <v>3628</v>
      </c>
      <c r="AK1859" s="5" t="s">
        <v>3622</v>
      </c>
    </row>
    <row r="1860" spans="35:37">
      <c r="AI1860" s="468">
        <v>44232</v>
      </c>
      <c r="AJ1860" s="5" t="s">
        <v>3617</v>
      </c>
      <c r="AK1860" s="5" t="s">
        <v>3623</v>
      </c>
    </row>
    <row r="1861" spans="35:37">
      <c r="AI1861" s="468">
        <v>44233</v>
      </c>
      <c r="AJ1861" s="5" t="s">
        <v>3619</v>
      </c>
      <c r="AK1861" s="5" t="s">
        <v>3625</v>
      </c>
    </row>
    <row r="1862" spans="35:37">
      <c r="AI1862" s="468">
        <v>44234</v>
      </c>
      <c r="AJ1862" s="5" t="s">
        <v>3621</v>
      </c>
      <c r="AK1862" s="5" t="s">
        <v>3627</v>
      </c>
    </row>
    <row r="1863" spans="35:37">
      <c r="AI1863" s="468">
        <v>44235</v>
      </c>
      <c r="AJ1863" s="5" t="s">
        <v>3579</v>
      </c>
      <c r="AK1863" s="5" t="s">
        <v>3618</v>
      </c>
    </row>
    <row r="1864" spans="35:37">
      <c r="AI1864" s="468">
        <v>44236</v>
      </c>
      <c r="AJ1864" s="5" t="s">
        <v>3624</v>
      </c>
      <c r="AK1864" s="5" t="s">
        <v>3620</v>
      </c>
    </row>
    <row r="1865" spans="35:37">
      <c r="AI1865" s="468">
        <v>44237</v>
      </c>
      <c r="AJ1865" s="5" t="s">
        <v>3626</v>
      </c>
      <c r="AK1865" s="5" t="s">
        <v>3622</v>
      </c>
    </row>
    <row r="1866" spans="35:37">
      <c r="AI1866" s="468">
        <v>44238</v>
      </c>
      <c r="AJ1866" s="5" t="s">
        <v>3628</v>
      </c>
      <c r="AK1866" s="5" t="s">
        <v>3623</v>
      </c>
    </row>
    <row r="1867" spans="35:37">
      <c r="AI1867" s="468">
        <v>44239</v>
      </c>
      <c r="AJ1867" s="5" t="s">
        <v>3617</v>
      </c>
      <c r="AK1867" s="5" t="s">
        <v>3627</v>
      </c>
    </row>
    <row r="1868" spans="35:37">
      <c r="AI1868" s="468">
        <v>44240</v>
      </c>
      <c r="AJ1868" s="5" t="s">
        <v>3619</v>
      </c>
      <c r="AK1868" s="5" t="s">
        <v>3618</v>
      </c>
    </row>
    <row r="1869" spans="35:37">
      <c r="AI1869" s="468">
        <v>44241</v>
      </c>
      <c r="AJ1869" s="5" t="s">
        <v>3621</v>
      </c>
      <c r="AK1869" s="5" t="s">
        <v>3620</v>
      </c>
    </row>
    <row r="1870" spans="35:37">
      <c r="AI1870" s="468">
        <v>44242</v>
      </c>
      <c r="AJ1870" s="5" t="s">
        <v>3579</v>
      </c>
      <c r="AK1870" s="5" t="s">
        <v>3622</v>
      </c>
    </row>
    <row r="1871" spans="35:37">
      <c r="AI1871" s="468">
        <v>44243</v>
      </c>
      <c r="AJ1871" s="5" t="s">
        <v>3624</v>
      </c>
      <c r="AK1871" s="5" t="s">
        <v>3623</v>
      </c>
    </row>
    <row r="1872" spans="35:37">
      <c r="AI1872" s="468">
        <v>44244</v>
      </c>
      <c r="AJ1872" s="5" t="s">
        <v>3626</v>
      </c>
      <c r="AK1872" s="5" t="s">
        <v>3625</v>
      </c>
    </row>
    <row r="1873" spans="35:37">
      <c r="AI1873" s="468">
        <v>44245</v>
      </c>
      <c r="AJ1873" s="5" t="s">
        <v>3628</v>
      </c>
      <c r="AK1873" s="5" t="s">
        <v>3627</v>
      </c>
    </row>
    <row r="1874" spans="35:37">
      <c r="AI1874" s="468">
        <v>44246</v>
      </c>
      <c r="AJ1874" s="5" t="s">
        <v>3617</v>
      </c>
      <c r="AK1874" s="5" t="s">
        <v>3618</v>
      </c>
    </row>
    <row r="1875" spans="35:37">
      <c r="AI1875" s="468">
        <v>44247</v>
      </c>
      <c r="AJ1875" s="5" t="s">
        <v>3619</v>
      </c>
      <c r="AK1875" s="5" t="s">
        <v>3620</v>
      </c>
    </row>
    <row r="1876" spans="35:37">
      <c r="AI1876" s="468">
        <v>44248</v>
      </c>
      <c r="AJ1876" s="5" t="s">
        <v>3621</v>
      </c>
      <c r="AK1876" s="5" t="s">
        <v>3622</v>
      </c>
    </row>
    <row r="1877" spans="35:37">
      <c r="AI1877" s="468">
        <v>44249</v>
      </c>
      <c r="AJ1877" s="5" t="s">
        <v>3579</v>
      </c>
      <c r="AK1877" s="5" t="s">
        <v>3623</v>
      </c>
    </row>
    <row r="1878" spans="35:37">
      <c r="AI1878" s="468">
        <v>44250</v>
      </c>
      <c r="AJ1878" s="5" t="s">
        <v>3624</v>
      </c>
      <c r="AK1878" s="5" t="s">
        <v>3625</v>
      </c>
    </row>
    <row r="1879" spans="35:37">
      <c r="AI1879" s="468">
        <v>44251</v>
      </c>
      <c r="AJ1879" s="5" t="s">
        <v>3626</v>
      </c>
      <c r="AK1879" s="5" t="s">
        <v>3627</v>
      </c>
    </row>
    <row r="1880" spans="35:37">
      <c r="AI1880" s="468">
        <v>44252</v>
      </c>
      <c r="AJ1880" s="5" t="s">
        <v>3628</v>
      </c>
      <c r="AK1880" s="5" t="s">
        <v>3618</v>
      </c>
    </row>
    <row r="1881" spans="35:37">
      <c r="AI1881" s="468">
        <v>44253</v>
      </c>
      <c r="AJ1881" s="5" t="s">
        <v>3617</v>
      </c>
      <c r="AK1881" s="5" t="s">
        <v>3620</v>
      </c>
    </row>
    <row r="1882" spans="35:37">
      <c r="AI1882" s="468">
        <v>44254</v>
      </c>
      <c r="AJ1882" s="5" t="s">
        <v>3619</v>
      </c>
      <c r="AK1882" s="5" t="s">
        <v>3622</v>
      </c>
    </row>
    <row r="1883" spans="35:37">
      <c r="AI1883" s="468">
        <v>44255</v>
      </c>
      <c r="AJ1883" s="5" t="s">
        <v>3621</v>
      </c>
      <c r="AK1883" s="5" t="s">
        <v>3623</v>
      </c>
    </row>
    <row r="1884" spans="35:37">
      <c r="AI1884" s="468">
        <v>44256</v>
      </c>
      <c r="AJ1884" s="5" t="s">
        <v>3579</v>
      </c>
      <c r="AK1884" s="5" t="s">
        <v>3625</v>
      </c>
    </row>
    <row r="1885" spans="35:37">
      <c r="AI1885" s="468">
        <v>44257</v>
      </c>
      <c r="AJ1885" s="5" t="s">
        <v>3624</v>
      </c>
      <c r="AK1885" s="5" t="s">
        <v>3627</v>
      </c>
    </row>
    <row r="1886" spans="35:37">
      <c r="AI1886" s="468">
        <v>44258</v>
      </c>
      <c r="AJ1886" s="5" t="s">
        <v>3626</v>
      </c>
      <c r="AK1886" s="5" t="s">
        <v>3618</v>
      </c>
    </row>
    <row r="1887" spans="35:37">
      <c r="AI1887" s="468">
        <v>44259</v>
      </c>
      <c r="AJ1887" s="5" t="s">
        <v>3628</v>
      </c>
      <c r="AK1887" s="5" t="s">
        <v>3620</v>
      </c>
    </row>
    <row r="1888" spans="35:37">
      <c r="AI1888" s="468">
        <v>44260</v>
      </c>
      <c r="AJ1888" s="5" t="s">
        <v>3617</v>
      </c>
      <c r="AK1888" s="5" t="s">
        <v>3622</v>
      </c>
    </row>
    <row r="1889" spans="35:37">
      <c r="AI1889" s="468">
        <v>44261</v>
      </c>
      <c r="AJ1889" s="5" t="s">
        <v>3619</v>
      </c>
      <c r="AK1889" s="5" t="s">
        <v>3623</v>
      </c>
    </row>
    <row r="1890" spans="35:37">
      <c r="AI1890" s="468">
        <v>44262</v>
      </c>
      <c r="AJ1890" s="5" t="s">
        <v>3621</v>
      </c>
      <c r="AK1890" s="5" t="s">
        <v>3625</v>
      </c>
    </row>
    <row r="1891" spans="35:37">
      <c r="AI1891" s="468">
        <v>44263</v>
      </c>
      <c r="AJ1891" s="5" t="s">
        <v>3579</v>
      </c>
      <c r="AK1891" s="5" t="s">
        <v>3627</v>
      </c>
    </row>
    <row r="1892" spans="35:37">
      <c r="AI1892" s="468">
        <v>44264</v>
      </c>
      <c r="AJ1892" s="5" t="s">
        <v>3624</v>
      </c>
      <c r="AK1892" s="5" t="s">
        <v>3618</v>
      </c>
    </row>
    <row r="1893" spans="35:37">
      <c r="AI1893" s="468">
        <v>44265</v>
      </c>
      <c r="AJ1893" s="5" t="s">
        <v>3626</v>
      </c>
      <c r="AK1893" s="5" t="s">
        <v>3620</v>
      </c>
    </row>
    <row r="1894" spans="35:37">
      <c r="AI1894" s="468">
        <v>44266</v>
      </c>
      <c r="AJ1894" s="5" t="s">
        <v>3628</v>
      </c>
      <c r="AK1894" s="5" t="s">
        <v>3622</v>
      </c>
    </row>
    <row r="1895" spans="35:37">
      <c r="AI1895" s="468">
        <v>44267</v>
      </c>
      <c r="AJ1895" s="5" t="s">
        <v>3617</v>
      </c>
      <c r="AK1895" s="5" t="s">
        <v>3623</v>
      </c>
    </row>
    <row r="1896" spans="35:37">
      <c r="AI1896" s="468">
        <v>44268</v>
      </c>
      <c r="AJ1896" s="5" t="s">
        <v>3619</v>
      </c>
      <c r="AK1896" s="5" t="s">
        <v>3618</v>
      </c>
    </row>
    <row r="1897" spans="35:37">
      <c r="AI1897" s="468">
        <v>44269</v>
      </c>
      <c r="AJ1897" s="5" t="s">
        <v>3621</v>
      </c>
      <c r="AK1897" s="5" t="s">
        <v>3620</v>
      </c>
    </row>
    <row r="1898" spans="35:37">
      <c r="AI1898" s="468">
        <v>44270</v>
      </c>
      <c r="AJ1898" s="5" t="s">
        <v>3579</v>
      </c>
      <c r="AK1898" s="5" t="s">
        <v>3622</v>
      </c>
    </row>
    <row r="1899" spans="35:37">
      <c r="AI1899" s="468">
        <v>44271</v>
      </c>
      <c r="AJ1899" s="5" t="s">
        <v>3624</v>
      </c>
      <c r="AK1899" s="5" t="s">
        <v>3623</v>
      </c>
    </row>
    <row r="1900" spans="35:37">
      <c r="AI1900" s="468">
        <v>44272</v>
      </c>
      <c r="AJ1900" s="5" t="s">
        <v>3626</v>
      </c>
      <c r="AK1900" s="5" t="s">
        <v>3625</v>
      </c>
    </row>
    <row r="1901" spans="35:37">
      <c r="AI1901" s="468">
        <v>44273</v>
      </c>
      <c r="AJ1901" s="5" t="s">
        <v>3628</v>
      </c>
      <c r="AK1901" s="5" t="s">
        <v>3627</v>
      </c>
    </row>
    <row r="1902" spans="35:37">
      <c r="AI1902" s="468">
        <v>44274</v>
      </c>
      <c r="AJ1902" s="5" t="s">
        <v>3617</v>
      </c>
      <c r="AK1902" s="5" t="s">
        <v>3618</v>
      </c>
    </row>
    <row r="1903" spans="35:37">
      <c r="AI1903" s="468">
        <v>44275</v>
      </c>
      <c r="AJ1903" s="5" t="s">
        <v>3619</v>
      </c>
      <c r="AK1903" s="5" t="s">
        <v>3620</v>
      </c>
    </row>
    <row r="1904" spans="35:37">
      <c r="AI1904" s="468">
        <v>44276</v>
      </c>
      <c r="AJ1904" s="5" t="s">
        <v>3621</v>
      </c>
      <c r="AK1904" s="5" t="s">
        <v>3622</v>
      </c>
    </row>
    <row r="1905" spans="35:37">
      <c r="AI1905" s="468">
        <v>44277</v>
      </c>
      <c r="AJ1905" s="5" t="s">
        <v>3579</v>
      </c>
      <c r="AK1905" s="5" t="s">
        <v>3623</v>
      </c>
    </row>
    <row r="1906" spans="35:37">
      <c r="AI1906" s="468">
        <v>44278</v>
      </c>
      <c r="AJ1906" s="5" t="s">
        <v>3624</v>
      </c>
      <c r="AK1906" s="5" t="s">
        <v>3625</v>
      </c>
    </row>
    <row r="1907" spans="35:37">
      <c r="AI1907" s="468">
        <v>44279</v>
      </c>
      <c r="AJ1907" s="5" t="s">
        <v>3626</v>
      </c>
      <c r="AK1907" s="5" t="s">
        <v>3627</v>
      </c>
    </row>
    <row r="1908" spans="35:37">
      <c r="AI1908" s="468">
        <v>44280</v>
      </c>
      <c r="AJ1908" s="5" t="s">
        <v>3628</v>
      </c>
      <c r="AK1908" s="5" t="s">
        <v>3618</v>
      </c>
    </row>
    <row r="1909" spans="35:37">
      <c r="AI1909" s="468">
        <v>44281</v>
      </c>
      <c r="AJ1909" s="5" t="s">
        <v>3617</v>
      </c>
      <c r="AK1909" s="5" t="s">
        <v>3620</v>
      </c>
    </row>
    <row r="1910" spans="35:37">
      <c r="AI1910" s="468">
        <v>44282</v>
      </c>
      <c r="AJ1910" s="5" t="s">
        <v>3619</v>
      </c>
      <c r="AK1910" s="5" t="s">
        <v>3622</v>
      </c>
    </row>
    <row r="1911" spans="35:37">
      <c r="AI1911" s="468">
        <v>44283</v>
      </c>
      <c r="AJ1911" s="5" t="s">
        <v>3621</v>
      </c>
      <c r="AK1911" s="5" t="s">
        <v>3623</v>
      </c>
    </row>
    <row r="1912" spans="35:37">
      <c r="AI1912" s="468">
        <v>44284</v>
      </c>
      <c r="AJ1912" s="5" t="s">
        <v>3579</v>
      </c>
      <c r="AK1912" s="5" t="s">
        <v>3625</v>
      </c>
    </row>
    <row r="1913" spans="35:37">
      <c r="AI1913" s="468">
        <v>44285</v>
      </c>
      <c r="AJ1913" s="5" t="s">
        <v>3624</v>
      </c>
      <c r="AK1913" s="5" t="s">
        <v>3627</v>
      </c>
    </row>
    <row r="1914" spans="35:37">
      <c r="AI1914" s="468">
        <v>44286</v>
      </c>
      <c r="AJ1914" s="5" t="s">
        <v>3626</v>
      </c>
      <c r="AK1914" s="5" t="s">
        <v>3618</v>
      </c>
    </row>
    <row r="1915" spans="35:37">
      <c r="AI1915" s="468">
        <v>44287</v>
      </c>
      <c r="AJ1915" s="5" t="s">
        <v>3628</v>
      </c>
      <c r="AK1915" s="5" t="s">
        <v>3620</v>
      </c>
    </row>
    <row r="1916" spans="35:37">
      <c r="AI1916" s="468">
        <v>44288</v>
      </c>
      <c r="AJ1916" s="5" t="s">
        <v>3617</v>
      </c>
      <c r="AK1916" s="5" t="s">
        <v>3622</v>
      </c>
    </row>
    <row r="1917" spans="35:37">
      <c r="AI1917" s="468">
        <v>44289</v>
      </c>
      <c r="AJ1917" s="5" t="s">
        <v>3619</v>
      </c>
      <c r="AK1917" s="5" t="s">
        <v>3623</v>
      </c>
    </row>
    <row r="1918" spans="35:37">
      <c r="AI1918" s="468">
        <v>44290</v>
      </c>
      <c r="AJ1918" s="5" t="s">
        <v>3621</v>
      </c>
      <c r="AK1918" s="5" t="s">
        <v>3625</v>
      </c>
    </row>
    <row r="1919" spans="35:37">
      <c r="AI1919" s="468">
        <v>44291</v>
      </c>
      <c r="AJ1919" s="5" t="s">
        <v>3579</v>
      </c>
      <c r="AK1919" s="5" t="s">
        <v>3627</v>
      </c>
    </row>
    <row r="1920" spans="35:37">
      <c r="AI1920" s="468">
        <v>44292</v>
      </c>
      <c r="AJ1920" s="5" t="s">
        <v>3624</v>
      </c>
      <c r="AK1920" s="5" t="s">
        <v>3618</v>
      </c>
    </row>
    <row r="1921" spans="35:37">
      <c r="AI1921" s="468">
        <v>44293</v>
      </c>
      <c r="AJ1921" s="5" t="s">
        <v>3626</v>
      </c>
      <c r="AK1921" s="5" t="s">
        <v>3620</v>
      </c>
    </row>
    <row r="1922" spans="35:37">
      <c r="AI1922" s="468">
        <v>44294</v>
      </c>
      <c r="AJ1922" s="5" t="s">
        <v>3628</v>
      </c>
      <c r="AK1922" s="5" t="s">
        <v>3622</v>
      </c>
    </row>
    <row r="1923" spans="35:37">
      <c r="AI1923" s="468">
        <v>44295</v>
      </c>
      <c r="AJ1923" s="5" t="s">
        <v>3617</v>
      </c>
      <c r="AK1923" s="5" t="s">
        <v>3623</v>
      </c>
    </row>
    <row r="1924" spans="35:37">
      <c r="AI1924" s="468">
        <v>44296</v>
      </c>
      <c r="AJ1924" s="5" t="s">
        <v>3619</v>
      </c>
      <c r="AK1924" s="5" t="s">
        <v>3625</v>
      </c>
    </row>
    <row r="1925" spans="35:37">
      <c r="AI1925" s="468">
        <v>44297</v>
      </c>
      <c r="AJ1925" s="5" t="s">
        <v>3621</v>
      </c>
      <c r="AK1925" s="5" t="s">
        <v>3627</v>
      </c>
    </row>
    <row r="1926" spans="35:37">
      <c r="AI1926" s="468">
        <v>44298</v>
      </c>
      <c r="AJ1926" s="5" t="s">
        <v>3579</v>
      </c>
      <c r="AK1926" s="5" t="s">
        <v>3620</v>
      </c>
    </row>
    <row r="1927" spans="35:37">
      <c r="AI1927" s="468">
        <v>44299</v>
      </c>
      <c r="AJ1927" s="5" t="s">
        <v>3624</v>
      </c>
      <c r="AK1927" s="5" t="s">
        <v>3622</v>
      </c>
    </row>
    <row r="1928" spans="35:37">
      <c r="AI1928" s="468">
        <v>44300</v>
      </c>
      <c r="AJ1928" s="5" t="s">
        <v>3626</v>
      </c>
      <c r="AK1928" s="5" t="s">
        <v>3623</v>
      </c>
    </row>
    <row r="1929" spans="35:37">
      <c r="AI1929" s="468">
        <v>44301</v>
      </c>
      <c r="AJ1929" s="5" t="s">
        <v>3628</v>
      </c>
      <c r="AK1929" s="5" t="s">
        <v>3625</v>
      </c>
    </row>
    <row r="1930" spans="35:37">
      <c r="AI1930" s="468">
        <v>44302</v>
      </c>
      <c r="AJ1930" s="5" t="s">
        <v>3617</v>
      </c>
      <c r="AK1930" s="5" t="s">
        <v>3627</v>
      </c>
    </row>
    <row r="1931" spans="35:37">
      <c r="AI1931" s="468">
        <v>44303</v>
      </c>
      <c r="AJ1931" s="5" t="s">
        <v>3619</v>
      </c>
      <c r="AK1931" s="5" t="s">
        <v>3618</v>
      </c>
    </row>
    <row r="1932" spans="35:37">
      <c r="AI1932" s="468">
        <v>44304</v>
      </c>
      <c r="AJ1932" s="5" t="s">
        <v>3621</v>
      </c>
      <c r="AK1932" s="5" t="s">
        <v>3620</v>
      </c>
    </row>
    <row r="1933" spans="35:37">
      <c r="AI1933" s="468">
        <v>44305</v>
      </c>
      <c r="AJ1933" s="5" t="s">
        <v>3579</v>
      </c>
      <c r="AK1933" s="5" t="s">
        <v>3622</v>
      </c>
    </row>
    <row r="1934" spans="35:37">
      <c r="AI1934" s="468">
        <v>44306</v>
      </c>
      <c r="AJ1934" s="5" t="s">
        <v>3624</v>
      </c>
      <c r="AK1934" s="5" t="s">
        <v>3623</v>
      </c>
    </row>
    <row r="1935" spans="35:37">
      <c r="AI1935" s="468">
        <v>44307</v>
      </c>
      <c r="AJ1935" s="5" t="s">
        <v>3626</v>
      </c>
      <c r="AK1935" s="5" t="s">
        <v>3625</v>
      </c>
    </row>
    <row r="1936" spans="35:37">
      <c r="AI1936" s="468">
        <v>44308</v>
      </c>
      <c r="AJ1936" s="5" t="s">
        <v>3628</v>
      </c>
      <c r="AK1936" s="5" t="s">
        <v>3627</v>
      </c>
    </row>
    <row r="1937" spans="35:37">
      <c r="AI1937" s="468">
        <v>44309</v>
      </c>
      <c r="AJ1937" s="5" t="s">
        <v>3617</v>
      </c>
      <c r="AK1937" s="5" t="s">
        <v>3618</v>
      </c>
    </row>
    <row r="1938" spans="35:37">
      <c r="AI1938" s="468">
        <v>44310</v>
      </c>
      <c r="AJ1938" s="5" t="s">
        <v>3619</v>
      </c>
      <c r="AK1938" s="5" t="s">
        <v>3620</v>
      </c>
    </row>
    <row r="1939" spans="35:37">
      <c r="AI1939" s="468">
        <v>44311</v>
      </c>
      <c r="AJ1939" s="5" t="s">
        <v>3621</v>
      </c>
      <c r="AK1939" s="5" t="s">
        <v>3622</v>
      </c>
    </row>
    <row r="1940" spans="35:37">
      <c r="AI1940" s="468">
        <v>44312</v>
      </c>
      <c r="AJ1940" s="5" t="s">
        <v>3579</v>
      </c>
      <c r="AK1940" s="5" t="s">
        <v>3623</v>
      </c>
    </row>
    <row r="1941" spans="35:37">
      <c r="AI1941" s="468">
        <v>44313</v>
      </c>
      <c r="AJ1941" s="5" t="s">
        <v>3624</v>
      </c>
      <c r="AK1941" s="5" t="s">
        <v>3625</v>
      </c>
    </row>
    <row r="1942" spans="35:37">
      <c r="AI1942" s="468">
        <v>44314</v>
      </c>
      <c r="AJ1942" s="5" t="s">
        <v>3626</v>
      </c>
      <c r="AK1942" s="5" t="s">
        <v>3627</v>
      </c>
    </row>
    <row r="1943" spans="35:37">
      <c r="AI1943" s="468">
        <v>44315</v>
      </c>
      <c r="AJ1943" s="5" t="s">
        <v>3628</v>
      </c>
      <c r="AK1943" s="5" t="s">
        <v>3618</v>
      </c>
    </row>
    <row r="1944" spans="35:37">
      <c r="AI1944" s="468">
        <v>44316</v>
      </c>
      <c r="AJ1944" s="5" t="s">
        <v>3617</v>
      </c>
      <c r="AK1944" s="5" t="s">
        <v>3620</v>
      </c>
    </row>
    <row r="1945" spans="35:37">
      <c r="AI1945" s="468">
        <v>44317</v>
      </c>
      <c r="AJ1945" s="5" t="s">
        <v>3619</v>
      </c>
      <c r="AK1945" s="5" t="s">
        <v>3622</v>
      </c>
    </row>
    <row r="1946" spans="35:37">
      <c r="AI1946" s="468">
        <v>44318</v>
      </c>
      <c r="AJ1946" s="5" t="s">
        <v>3621</v>
      </c>
      <c r="AK1946" s="5" t="s">
        <v>3623</v>
      </c>
    </row>
    <row r="1947" spans="35:37">
      <c r="AI1947" s="468">
        <v>44319</v>
      </c>
      <c r="AJ1947" s="5" t="s">
        <v>3579</v>
      </c>
      <c r="AK1947" s="5" t="s">
        <v>3625</v>
      </c>
    </row>
    <row r="1948" spans="35:37">
      <c r="AI1948" s="468">
        <v>44320</v>
      </c>
      <c r="AJ1948" s="5" t="s">
        <v>3624</v>
      </c>
      <c r="AK1948" s="5" t="s">
        <v>3627</v>
      </c>
    </row>
    <row r="1949" spans="35:37">
      <c r="AI1949" s="468">
        <v>44321</v>
      </c>
      <c r="AJ1949" s="5" t="s">
        <v>3626</v>
      </c>
      <c r="AK1949" s="5" t="s">
        <v>3618</v>
      </c>
    </row>
    <row r="1950" spans="35:37">
      <c r="AI1950" s="468">
        <v>44322</v>
      </c>
      <c r="AJ1950" s="5" t="s">
        <v>3628</v>
      </c>
      <c r="AK1950" s="5" t="s">
        <v>3620</v>
      </c>
    </row>
    <row r="1951" spans="35:37">
      <c r="AI1951" s="468">
        <v>44323</v>
      </c>
      <c r="AJ1951" s="5" t="s">
        <v>3617</v>
      </c>
      <c r="AK1951" s="5" t="s">
        <v>3622</v>
      </c>
    </row>
    <row r="1952" spans="35:37">
      <c r="AI1952" s="468">
        <v>44324</v>
      </c>
      <c r="AJ1952" s="5" t="s">
        <v>3619</v>
      </c>
      <c r="AK1952" s="5" t="s">
        <v>3623</v>
      </c>
    </row>
    <row r="1953" spans="35:37">
      <c r="AI1953" s="468">
        <v>44325</v>
      </c>
      <c r="AJ1953" s="5" t="s">
        <v>3621</v>
      </c>
      <c r="AK1953" s="5" t="s">
        <v>3625</v>
      </c>
    </row>
    <row r="1954" spans="35:37">
      <c r="AI1954" s="468">
        <v>44326</v>
      </c>
      <c r="AJ1954" s="5" t="s">
        <v>3579</v>
      </c>
      <c r="AK1954" s="5" t="s">
        <v>3627</v>
      </c>
    </row>
    <row r="1955" spans="35:37">
      <c r="AI1955" s="468">
        <v>44327</v>
      </c>
      <c r="AJ1955" s="5" t="s">
        <v>3624</v>
      </c>
      <c r="AK1955" s="5" t="s">
        <v>3618</v>
      </c>
    </row>
    <row r="1956" spans="35:37">
      <c r="AI1956" s="468">
        <v>44328</v>
      </c>
      <c r="AJ1956" s="5" t="s">
        <v>3626</v>
      </c>
      <c r="AK1956" s="5" t="s">
        <v>3622</v>
      </c>
    </row>
    <row r="1957" spans="35:37">
      <c r="AI1957" s="468">
        <v>44329</v>
      </c>
      <c r="AJ1957" s="5" t="s">
        <v>3628</v>
      </c>
      <c r="AK1957" s="5" t="s">
        <v>3623</v>
      </c>
    </row>
    <row r="1958" spans="35:37">
      <c r="AI1958" s="468">
        <v>44330</v>
      </c>
      <c r="AJ1958" s="5" t="s">
        <v>3617</v>
      </c>
      <c r="AK1958" s="5" t="s">
        <v>3625</v>
      </c>
    </row>
    <row r="1959" spans="35:37">
      <c r="AI1959" s="468">
        <v>44331</v>
      </c>
      <c r="AJ1959" s="5" t="s">
        <v>3619</v>
      </c>
      <c r="AK1959" s="5" t="s">
        <v>3627</v>
      </c>
    </row>
    <row r="1960" spans="35:37">
      <c r="AI1960" s="468">
        <v>44332</v>
      </c>
      <c r="AJ1960" s="5" t="s">
        <v>3621</v>
      </c>
      <c r="AK1960" s="5" t="s">
        <v>3618</v>
      </c>
    </row>
    <row r="1961" spans="35:37">
      <c r="AI1961" s="468">
        <v>44333</v>
      </c>
      <c r="AJ1961" s="5" t="s">
        <v>3579</v>
      </c>
      <c r="AK1961" s="5" t="s">
        <v>3620</v>
      </c>
    </row>
    <row r="1962" spans="35:37">
      <c r="AI1962" s="468">
        <v>44334</v>
      </c>
      <c r="AJ1962" s="5" t="s">
        <v>3624</v>
      </c>
      <c r="AK1962" s="5" t="s">
        <v>3622</v>
      </c>
    </row>
    <row r="1963" spans="35:37">
      <c r="AI1963" s="468">
        <v>44335</v>
      </c>
      <c r="AJ1963" s="5" t="s">
        <v>3626</v>
      </c>
      <c r="AK1963" s="5" t="s">
        <v>3623</v>
      </c>
    </row>
    <row r="1964" spans="35:37">
      <c r="AI1964" s="468">
        <v>44336</v>
      </c>
      <c r="AJ1964" s="5" t="s">
        <v>3628</v>
      </c>
      <c r="AK1964" s="5" t="s">
        <v>3625</v>
      </c>
    </row>
    <row r="1965" spans="35:37">
      <c r="AI1965" s="468">
        <v>44337</v>
      </c>
      <c r="AJ1965" s="5" t="s">
        <v>3617</v>
      </c>
      <c r="AK1965" s="5" t="s">
        <v>3627</v>
      </c>
    </row>
    <row r="1966" spans="35:37">
      <c r="AI1966" s="468">
        <v>44338</v>
      </c>
      <c r="AJ1966" s="5" t="s">
        <v>3619</v>
      </c>
      <c r="AK1966" s="5" t="s">
        <v>3618</v>
      </c>
    </row>
    <row r="1967" spans="35:37">
      <c r="AI1967" s="468">
        <v>44339</v>
      </c>
      <c r="AJ1967" s="5" t="s">
        <v>3621</v>
      </c>
      <c r="AK1967" s="5" t="s">
        <v>3620</v>
      </c>
    </row>
    <row r="1968" spans="35:37">
      <c r="AI1968" s="468">
        <v>44340</v>
      </c>
      <c r="AJ1968" s="5" t="s">
        <v>3579</v>
      </c>
      <c r="AK1968" s="5" t="s">
        <v>3622</v>
      </c>
    </row>
    <row r="1969" spans="35:37">
      <c r="AI1969" s="468">
        <v>44341</v>
      </c>
      <c r="AJ1969" s="5" t="s">
        <v>3624</v>
      </c>
      <c r="AK1969" s="5" t="s">
        <v>3623</v>
      </c>
    </row>
    <row r="1970" spans="35:37">
      <c r="AI1970" s="468">
        <v>44342</v>
      </c>
      <c r="AJ1970" s="5" t="s">
        <v>3626</v>
      </c>
      <c r="AK1970" s="5" t="s">
        <v>3625</v>
      </c>
    </row>
    <row r="1971" spans="35:37">
      <c r="AI1971" s="468">
        <v>44343</v>
      </c>
      <c r="AJ1971" s="5" t="s">
        <v>3628</v>
      </c>
      <c r="AK1971" s="5" t="s">
        <v>3627</v>
      </c>
    </row>
    <row r="1972" spans="35:37">
      <c r="AI1972" s="468">
        <v>44344</v>
      </c>
      <c r="AJ1972" s="5" t="s">
        <v>3617</v>
      </c>
      <c r="AK1972" s="5" t="s">
        <v>3618</v>
      </c>
    </row>
    <row r="1973" spans="35:37">
      <c r="AI1973" s="468">
        <v>44345</v>
      </c>
      <c r="AJ1973" s="5" t="s">
        <v>3619</v>
      </c>
      <c r="AK1973" s="5" t="s">
        <v>3620</v>
      </c>
    </row>
    <row r="1974" spans="35:37">
      <c r="AI1974" s="468">
        <v>44346</v>
      </c>
      <c r="AJ1974" s="5" t="s">
        <v>3621</v>
      </c>
      <c r="AK1974" s="5" t="s">
        <v>3622</v>
      </c>
    </row>
    <row r="1975" spans="35:37">
      <c r="AI1975" s="468">
        <v>44347</v>
      </c>
      <c r="AJ1975" s="5" t="s">
        <v>3579</v>
      </c>
      <c r="AK1975" s="5" t="s">
        <v>3623</v>
      </c>
    </row>
    <row r="1976" spans="35:37">
      <c r="AI1976" s="468">
        <v>44348</v>
      </c>
      <c r="AJ1976" s="5" t="s">
        <v>3624</v>
      </c>
      <c r="AK1976" s="5" t="s">
        <v>3625</v>
      </c>
    </row>
    <row r="1977" spans="35:37">
      <c r="AI1977" s="468">
        <v>44349</v>
      </c>
      <c r="AJ1977" s="5" t="s">
        <v>3626</v>
      </c>
      <c r="AK1977" s="5" t="s">
        <v>3627</v>
      </c>
    </row>
    <row r="1978" spans="35:37">
      <c r="AI1978" s="468">
        <v>44350</v>
      </c>
      <c r="AJ1978" s="5" t="s">
        <v>3628</v>
      </c>
      <c r="AK1978" s="5" t="s">
        <v>3618</v>
      </c>
    </row>
    <row r="1979" spans="35:37">
      <c r="AI1979" s="468">
        <v>44351</v>
      </c>
      <c r="AJ1979" s="5" t="s">
        <v>3617</v>
      </c>
      <c r="AK1979" s="5" t="s">
        <v>3620</v>
      </c>
    </row>
    <row r="1980" spans="35:37">
      <c r="AI1980" s="468">
        <v>44352</v>
      </c>
      <c r="AJ1980" s="5" t="s">
        <v>3619</v>
      </c>
      <c r="AK1980" s="5" t="s">
        <v>3622</v>
      </c>
    </row>
    <row r="1981" spans="35:37">
      <c r="AI1981" s="468">
        <v>44353</v>
      </c>
      <c r="AJ1981" s="5" t="s">
        <v>3621</v>
      </c>
      <c r="AK1981" s="5" t="s">
        <v>3623</v>
      </c>
    </row>
    <row r="1982" spans="35:37">
      <c r="AI1982" s="468">
        <v>44354</v>
      </c>
      <c r="AJ1982" s="5" t="s">
        <v>3579</v>
      </c>
      <c r="AK1982" s="5" t="s">
        <v>3625</v>
      </c>
    </row>
    <row r="1983" spans="35:37">
      <c r="AI1983" s="468">
        <v>44355</v>
      </c>
      <c r="AJ1983" s="5" t="s">
        <v>3624</v>
      </c>
      <c r="AK1983" s="5" t="s">
        <v>3627</v>
      </c>
    </row>
    <row r="1984" spans="35:37">
      <c r="AI1984" s="468">
        <v>44356</v>
      </c>
      <c r="AJ1984" s="5" t="s">
        <v>3626</v>
      </c>
      <c r="AK1984" s="5" t="s">
        <v>3618</v>
      </c>
    </row>
    <row r="1985" spans="35:37">
      <c r="AI1985" s="468">
        <v>44357</v>
      </c>
      <c r="AJ1985" s="5" t="s">
        <v>3628</v>
      </c>
      <c r="AK1985" s="5" t="s">
        <v>3623</v>
      </c>
    </row>
    <row r="1986" spans="35:37">
      <c r="AI1986" s="468">
        <v>44358</v>
      </c>
      <c r="AJ1986" s="5" t="s">
        <v>3617</v>
      </c>
      <c r="AK1986" s="5" t="s">
        <v>3625</v>
      </c>
    </row>
    <row r="1987" spans="35:37">
      <c r="AI1987" s="468">
        <v>44359</v>
      </c>
      <c r="AJ1987" s="5" t="s">
        <v>3619</v>
      </c>
      <c r="AK1987" s="5" t="s">
        <v>3627</v>
      </c>
    </row>
    <row r="1988" spans="35:37">
      <c r="AI1988" s="468">
        <v>44360</v>
      </c>
      <c r="AJ1988" s="5" t="s">
        <v>3621</v>
      </c>
      <c r="AK1988" s="5" t="s">
        <v>3618</v>
      </c>
    </row>
    <row r="1989" spans="35:37">
      <c r="AI1989" s="468">
        <v>44361</v>
      </c>
      <c r="AJ1989" s="5" t="s">
        <v>3579</v>
      </c>
      <c r="AK1989" s="5" t="s">
        <v>3620</v>
      </c>
    </row>
    <row r="1990" spans="35:37">
      <c r="AI1990" s="468">
        <v>44362</v>
      </c>
      <c r="AJ1990" s="5" t="s">
        <v>3624</v>
      </c>
      <c r="AK1990" s="5" t="s">
        <v>3622</v>
      </c>
    </row>
    <row r="1991" spans="35:37">
      <c r="AI1991" s="468">
        <v>44363</v>
      </c>
      <c r="AJ1991" s="5" t="s">
        <v>3626</v>
      </c>
      <c r="AK1991" s="5" t="s">
        <v>3623</v>
      </c>
    </row>
    <row r="1992" spans="35:37">
      <c r="AI1992" s="468">
        <v>44364</v>
      </c>
      <c r="AJ1992" s="5" t="s">
        <v>3628</v>
      </c>
      <c r="AK1992" s="5" t="s">
        <v>3625</v>
      </c>
    </row>
    <row r="1993" spans="35:37">
      <c r="AI1993" s="468">
        <v>44365</v>
      </c>
      <c r="AJ1993" s="5" t="s">
        <v>3617</v>
      </c>
      <c r="AK1993" s="5" t="s">
        <v>3627</v>
      </c>
    </row>
    <row r="1994" spans="35:37">
      <c r="AI1994" s="468">
        <v>44366</v>
      </c>
      <c r="AJ1994" s="5" t="s">
        <v>3619</v>
      </c>
      <c r="AK1994" s="5" t="s">
        <v>3618</v>
      </c>
    </row>
    <row r="1995" spans="35:37">
      <c r="AI1995" s="468">
        <v>44367</v>
      </c>
      <c r="AJ1995" s="5" t="s">
        <v>3621</v>
      </c>
      <c r="AK1995" s="5" t="s">
        <v>3620</v>
      </c>
    </row>
    <row r="1996" spans="35:37">
      <c r="AI1996" s="468">
        <v>44368</v>
      </c>
      <c r="AJ1996" s="5" t="s">
        <v>3579</v>
      </c>
      <c r="AK1996" s="5" t="s">
        <v>3622</v>
      </c>
    </row>
    <row r="1997" spans="35:37">
      <c r="AI1997" s="468">
        <v>44369</v>
      </c>
      <c r="AJ1997" s="5" t="s">
        <v>3624</v>
      </c>
      <c r="AK1997" s="5" t="s">
        <v>3623</v>
      </c>
    </row>
    <row r="1998" spans="35:37">
      <c r="AI1998" s="468">
        <v>44370</v>
      </c>
      <c r="AJ1998" s="5" t="s">
        <v>3626</v>
      </c>
      <c r="AK1998" s="5" t="s">
        <v>3625</v>
      </c>
    </row>
    <row r="1999" spans="35:37">
      <c r="AI1999" s="468">
        <v>44371</v>
      </c>
      <c r="AJ1999" s="5" t="s">
        <v>3628</v>
      </c>
      <c r="AK1999" s="5" t="s">
        <v>3627</v>
      </c>
    </row>
    <row r="2000" spans="35:37">
      <c r="AI2000" s="468">
        <v>44372</v>
      </c>
      <c r="AJ2000" s="5" t="s">
        <v>3617</v>
      </c>
      <c r="AK2000" s="5" t="s">
        <v>3618</v>
      </c>
    </row>
    <row r="2001" spans="35:37">
      <c r="AI2001" s="468">
        <v>44373</v>
      </c>
      <c r="AJ2001" s="5" t="s">
        <v>3619</v>
      </c>
      <c r="AK2001" s="5" t="s">
        <v>3620</v>
      </c>
    </row>
    <row r="2002" spans="35:37">
      <c r="AI2002" s="468">
        <v>44374</v>
      </c>
      <c r="AJ2002" s="5" t="s">
        <v>3621</v>
      </c>
      <c r="AK2002" s="5" t="s">
        <v>3622</v>
      </c>
    </row>
    <row r="2003" spans="35:37">
      <c r="AI2003" s="468">
        <v>44375</v>
      </c>
      <c r="AJ2003" s="5" t="s">
        <v>3579</v>
      </c>
      <c r="AK2003" s="5" t="s">
        <v>3623</v>
      </c>
    </row>
    <row r="2004" spans="35:37">
      <c r="AI2004" s="468">
        <v>44376</v>
      </c>
      <c r="AJ2004" s="5" t="s">
        <v>3624</v>
      </c>
      <c r="AK2004" s="5" t="s">
        <v>3625</v>
      </c>
    </row>
    <row r="2005" spans="35:37">
      <c r="AI2005" s="468">
        <v>44377</v>
      </c>
      <c r="AJ2005" s="5" t="s">
        <v>3626</v>
      </c>
      <c r="AK2005" s="5" t="s">
        <v>3627</v>
      </c>
    </row>
    <row r="2006" spans="35:37">
      <c r="AI2006" s="468">
        <v>44378</v>
      </c>
      <c r="AJ2006" s="5" t="s">
        <v>3628</v>
      </c>
      <c r="AK2006" s="5" t="s">
        <v>3618</v>
      </c>
    </row>
    <row r="2007" spans="35:37">
      <c r="AI2007" s="468">
        <v>44379</v>
      </c>
      <c r="AJ2007" s="5" t="s">
        <v>3617</v>
      </c>
      <c r="AK2007" s="5" t="s">
        <v>3620</v>
      </c>
    </row>
    <row r="2008" spans="35:37">
      <c r="AI2008" s="468">
        <v>44380</v>
      </c>
      <c r="AJ2008" s="5" t="s">
        <v>3619</v>
      </c>
      <c r="AK2008" s="5" t="s">
        <v>3622</v>
      </c>
    </row>
    <row r="2009" spans="35:37">
      <c r="AI2009" s="468">
        <v>44381</v>
      </c>
      <c r="AJ2009" s="5" t="s">
        <v>3621</v>
      </c>
      <c r="AK2009" s="5" t="s">
        <v>3623</v>
      </c>
    </row>
    <row r="2010" spans="35:37">
      <c r="AI2010" s="468">
        <v>44382</v>
      </c>
      <c r="AJ2010" s="5" t="s">
        <v>3579</v>
      </c>
      <c r="AK2010" s="5" t="s">
        <v>3625</v>
      </c>
    </row>
    <row r="2011" spans="35:37">
      <c r="AI2011" s="468">
        <v>44383</v>
      </c>
      <c r="AJ2011" s="5" t="s">
        <v>3624</v>
      </c>
      <c r="AK2011" s="5" t="s">
        <v>3627</v>
      </c>
    </row>
    <row r="2012" spans="35:37">
      <c r="AI2012" s="468">
        <v>44384</v>
      </c>
      <c r="AJ2012" s="5" t="s">
        <v>3626</v>
      </c>
      <c r="AK2012" s="5" t="s">
        <v>3618</v>
      </c>
    </row>
    <row r="2013" spans="35:37">
      <c r="AI2013" s="468">
        <v>44385</v>
      </c>
      <c r="AJ2013" s="5" t="s">
        <v>3628</v>
      </c>
      <c r="AK2013" s="5" t="s">
        <v>3620</v>
      </c>
    </row>
    <row r="2014" spans="35:37">
      <c r="AI2014" s="468">
        <v>44386</v>
      </c>
      <c r="AJ2014" s="5" t="s">
        <v>3617</v>
      </c>
      <c r="AK2014" s="5" t="s">
        <v>3622</v>
      </c>
    </row>
    <row r="2015" spans="35:37">
      <c r="AI2015" s="468">
        <v>44387</v>
      </c>
      <c r="AJ2015" s="5" t="s">
        <v>3619</v>
      </c>
      <c r="AK2015" s="5" t="s">
        <v>3625</v>
      </c>
    </row>
    <row r="2016" spans="35:37">
      <c r="AI2016" s="468">
        <v>44388</v>
      </c>
      <c r="AJ2016" s="5" t="s">
        <v>3621</v>
      </c>
      <c r="AK2016" s="5" t="s">
        <v>3627</v>
      </c>
    </row>
    <row r="2017" spans="35:37">
      <c r="AI2017" s="468">
        <v>44389</v>
      </c>
      <c r="AJ2017" s="5" t="s">
        <v>3579</v>
      </c>
      <c r="AK2017" s="5" t="s">
        <v>3618</v>
      </c>
    </row>
    <row r="2018" spans="35:37">
      <c r="AI2018" s="468">
        <v>44390</v>
      </c>
      <c r="AJ2018" s="5" t="s">
        <v>3624</v>
      </c>
      <c r="AK2018" s="5" t="s">
        <v>3620</v>
      </c>
    </row>
    <row r="2019" spans="35:37">
      <c r="AI2019" s="468">
        <v>44391</v>
      </c>
      <c r="AJ2019" s="5" t="s">
        <v>3626</v>
      </c>
      <c r="AK2019" s="5" t="s">
        <v>3622</v>
      </c>
    </row>
    <row r="2020" spans="35:37">
      <c r="AI2020" s="468">
        <v>44392</v>
      </c>
      <c r="AJ2020" s="5" t="s">
        <v>3628</v>
      </c>
      <c r="AK2020" s="5" t="s">
        <v>3623</v>
      </c>
    </row>
    <row r="2021" spans="35:37">
      <c r="AI2021" s="468">
        <v>44393</v>
      </c>
      <c r="AJ2021" s="5" t="s">
        <v>3617</v>
      </c>
      <c r="AK2021" s="5" t="s">
        <v>3625</v>
      </c>
    </row>
    <row r="2022" spans="35:37">
      <c r="AI2022" s="468">
        <v>44394</v>
      </c>
      <c r="AJ2022" s="5" t="s">
        <v>3619</v>
      </c>
      <c r="AK2022" s="5" t="s">
        <v>3627</v>
      </c>
    </row>
    <row r="2023" spans="35:37">
      <c r="AI2023" s="468">
        <v>44395</v>
      </c>
      <c r="AJ2023" s="5" t="s">
        <v>3621</v>
      </c>
      <c r="AK2023" s="5" t="s">
        <v>3618</v>
      </c>
    </row>
    <row r="2024" spans="35:37">
      <c r="AI2024" s="468">
        <v>44396</v>
      </c>
      <c r="AJ2024" s="5" t="s">
        <v>3579</v>
      </c>
      <c r="AK2024" s="5" t="s">
        <v>3620</v>
      </c>
    </row>
    <row r="2025" spans="35:37">
      <c r="AI2025" s="468">
        <v>44397</v>
      </c>
      <c r="AJ2025" s="5" t="s">
        <v>3624</v>
      </c>
      <c r="AK2025" s="5" t="s">
        <v>3622</v>
      </c>
    </row>
    <row r="2026" spans="35:37">
      <c r="AI2026" s="468">
        <v>44398</v>
      </c>
      <c r="AJ2026" s="5" t="s">
        <v>3626</v>
      </c>
      <c r="AK2026" s="5" t="s">
        <v>3623</v>
      </c>
    </row>
    <row r="2027" spans="35:37">
      <c r="AI2027" s="468">
        <v>44399</v>
      </c>
      <c r="AJ2027" s="5" t="s">
        <v>3628</v>
      </c>
      <c r="AK2027" s="5" t="s">
        <v>3625</v>
      </c>
    </row>
    <row r="2028" spans="35:37">
      <c r="AI2028" s="468">
        <v>44400</v>
      </c>
      <c r="AJ2028" s="5" t="s">
        <v>3617</v>
      </c>
      <c r="AK2028" s="5" t="s">
        <v>3627</v>
      </c>
    </row>
    <row r="2029" spans="35:37">
      <c r="AI2029" s="468">
        <v>44401</v>
      </c>
      <c r="AJ2029" s="5" t="s">
        <v>3619</v>
      </c>
      <c r="AK2029" s="5" t="s">
        <v>3618</v>
      </c>
    </row>
    <row r="2030" spans="35:37">
      <c r="AI2030" s="468">
        <v>44402</v>
      </c>
      <c r="AJ2030" s="5" t="s">
        <v>3621</v>
      </c>
      <c r="AK2030" s="5" t="s">
        <v>3620</v>
      </c>
    </row>
    <row r="2031" spans="35:37">
      <c r="AI2031" s="468">
        <v>44403</v>
      </c>
      <c r="AJ2031" s="5" t="s">
        <v>3579</v>
      </c>
      <c r="AK2031" s="5" t="s">
        <v>3622</v>
      </c>
    </row>
    <row r="2032" spans="35:37">
      <c r="AI2032" s="468">
        <v>44404</v>
      </c>
      <c r="AJ2032" s="5" t="s">
        <v>3624</v>
      </c>
      <c r="AK2032" s="5" t="s">
        <v>3623</v>
      </c>
    </row>
    <row r="2033" spans="35:37">
      <c r="AI2033" s="468">
        <v>44405</v>
      </c>
      <c r="AJ2033" s="5" t="s">
        <v>3626</v>
      </c>
      <c r="AK2033" s="5" t="s">
        <v>3625</v>
      </c>
    </row>
    <row r="2034" spans="35:37">
      <c r="AI2034" s="468">
        <v>44406</v>
      </c>
      <c r="AJ2034" s="5" t="s">
        <v>3628</v>
      </c>
      <c r="AK2034" s="5" t="s">
        <v>3627</v>
      </c>
    </row>
    <row r="2035" spans="35:37">
      <c r="AI2035" s="468">
        <v>44407</v>
      </c>
      <c r="AJ2035" s="5" t="s">
        <v>3617</v>
      </c>
      <c r="AK2035" s="5" t="s">
        <v>3618</v>
      </c>
    </row>
    <row r="2036" spans="35:37">
      <c r="AI2036" s="468">
        <v>44408</v>
      </c>
      <c r="AJ2036" s="5" t="s">
        <v>3619</v>
      </c>
      <c r="AK2036" s="5" t="s">
        <v>3620</v>
      </c>
    </row>
    <row r="2037" spans="35:37">
      <c r="AI2037" s="468">
        <v>44409</v>
      </c>
      <c r="AJ2037" s="5" t="s">
        <v>3621</v>
      </c>
      <c r="AK2037" s="5" t="s">
        <v>3622</v>
      </c>
    </row>
    <row r="2038" spans="35:37">
      <c r="AI2038" s="468">
        <v>44410</v>
      </c>
      <c r="AJ2038" s="5" t="s">
        <v>3579</v>
      </c>
      <c r="AK2038" s="5" t="s">
        <v>3623</v>
      </c>
    </row>
    <row r="2039" spans="35:37">
      <c r="AI2039" s="468">
        <v>44411</v>
      </c>
      <c r="AJ2039" s="5" t="s">
        <v>3624</v>
      </c>
      <c r="AK2039" s="5" t="s">
        <v>3625</v>
      </c>
    </row>
    <row r="2040" spans="35:37">
      <c r="AI2040" s="468">
        <v>44412</v>
      </c>
      <c r="AJ2040" s="5" t="s">
        <v>3626</v>
      </c>
      <c r="AK2040" s="5" t="s">
        <v>3627</v>
      </c>
    </row>
    <row r="2041" spans="35:37">
      <c r="AI2041" s="468">
        <v>44413</v>
      </c>
      <c r="AJ2041" s="5" t="s">
        <v>3628</v>
      </c>
      <c r="AK2041" s="5" t="s">
        <v>3618</v>
      </c>
    </row>
    <row r="2042" spans="35:37">
      <c r="AI2042" s="468">
        <v>44414</v>
      </c>
      <c r="AJ2042" s="5" t="s">
        <v>3617</v>
      </c>
      <c r="AK2042" s="5" t="s">
        <v>3620</v>
      </c>
    </row>
    <row r="2043" spans="35:37">
      <c r="AI2043" s="468">
        <v>44415</v>
      </c>
      <c r="AJ2043" s="5" t="s">
        <v>3619</v>
      </c>
      <c r="AK2043" s="5" t="s">
        <v>3622</v>
      </c>
    </row>
    <row r="2044" spans="35:37">
      <c r="AI2044" s="468">
        <v>44416</v>
      </c>
      <c r="AJ2044" s="5" t="s">
        <v>3621</v>
      </c>
      <c r="AK2044" s="5" t="s">
        <v>3627</v>
      </c>
    </row>
    <row r="2045" spans="35:37">
      <c r="AI2045" s="468">
        <v>44417</v>
      </c>
      <c r="AJ2045" s="5" t="s">
        <v>3579</v>
      </c>
      <c r="AK2045" s="5" t="s">
        <v>3618</v>
      </c>
    </row>
    <row r="2046" spans="35:37">
      <c r="AI2046" s="468">
        <v>44418</v>
      </c>
      <c r="AJ2046" s="5" t="s">
        <v>3624</v>
      </c>
      <c r="AK2046" s="5" t="s">
        <v>3620</v>
      </c>
    </row>
    <row r="2047" spans="35:37">
      <c r="AI2047" s="468">
        <v>44419</v>
      </c>
      <c r="AJ2047" s="5" t="s">
        <v>3626</v>
      </c>
      <c r="AK2047" s="5" t="s">
        <v>3622</v>
      </c>
    </row>
    <row r="2048" spans="35:37">
      <c r="AI2048" s="468">
        <v>44420</v>
      </c>
      <c r="AJ2048" s="5" t="s">
        <v>3628</v>
      </c>
      <c r="AK2048" s="5" t="s">
        <v>3623</v>
      </c>
    </row>
    <row r="2049" spans="35:37">
      <c r="AI2049" s="468">
        <v>44421</v>
      </c>
      <c r="AJ2049" s="5" t="s">
        <v>3617</v>
      </c>
      <c r="AK2049" s="5" t="s">
        <v>3625</v>
      </c>
    </row>
    <row r="2050" spans="35:37">
      <c r="AI2050" s="468">
        <v>44422</v>
      </c>
      <c r="AJ2050" s="5" t="s">
        <v>3619</v>
      </c>
      <c r="AK2050" s="5" t="s">
        <v>3627</v>
      </c>
    </row>
    <row r="2051" spans="35:37">
      <c r="AI2051" s="468">
        <v>44423</v>
      </c>
      <c r="AJ2051" s="5" t="s">
        <v>3621</v>
      </c>
      <c r="AK2051" s="5" t="s">
        <v>3618</v>
      </c>
    </row>
    <row r="2052" spans="35:37">
      <c r="AI2052" s="468">
        <v>44424</v>
      </c>
      <c r="AJ2052" s="5" t="s">
        <v>3579</v>
      </c>
      <c r="AK2052" s="5" t="s">
        <v>3620</v>
      </c>
    </row>
    <row r="2053" spans="35:37">
      <c r="AI2053" s="468">
        <v>44425</v>
      </c>
      <c r="AJ2053" s="5" t="s">
        <v>3624</v>
      </c>
      <c r="AK2053" s="5" t="s">
        <v>3622</v>
      </c>
    </row>
    <row r="2054" spans="35:37">
      <c r="AI2054" s="468">
        <v>44426</v>
      </c>
      <c r="AJ2054" s="5" t="s">
        <v>3626</v>
      </c>
      <c r="AK2054" s="5" t="s">
        <v>3623</v>
      </c>
    </row>
    <row r="2055" spans="35:37">
      <c r="AI2055" s="468">
        <v>44427</v>
      </c>
      <c r="AJ2055" s="5" t="s">
        <v>3628</v>
      </c>
      <c r="AK2055" s="5" t="s">
        <v>3625</v>
      </c>
    </row>
    <row r="2056" spans="35:37">
      <c r="AI2056" s="468">
        <v>44428</v>
      </c>
      <c r="AJ2056" s="5" t="s">
        <v>3617</v>
      </c>
      <c r="AK2056" s="5" t="s">
        <v>3627</v>
      </c>
    </row>
    <row r="2057" spans="35:37">
      <c r="AI2057" s="468">
        <v>44429</v>
      </c>
      <c r="AJ2057" s="5" t="s">
        <v>3619</v>
      </c>
      <c r="AK2057" s="5" t="s">
        <v>3618</v>
      </c>
    </row>
    <row r="2058" spans="35:37">
      <c r="AI2058" s="468">
        <v>44430</v>
      </c>
      <c r="AJ2058" s="5" t="s">
        <v>3621</v>
      </c>
      <c r="AK2058" s="5" t="s">
        <v>3620</v>
      </c>
    </row>
    <row r="2059" spans="35:37">
      <c r="AI2059" s="468">
        <v>44431</v>
      </c>
      <c r="AJ2059" s="5" t="s">
        <v>3579</v>
      </c>
      <c r="AK2059" s="5" t="s">
        <v>3622</v>
      </c>
    </row>
    <row r="2060" spans="35:37">
      <c r="AI2060" s="468">
        <v>44432</v>
      </c>
      <c r="AJ2060" s="5" t="s">
        <v>3624</v>
      </c>
      <c r="AK2060" s="5" t="s">
        <v>3623</v>
      </c>
    </row>
    <row r="2061" spans="35:37">
      <c r="AI2061" s="468">
        <v>44433</v>
      </c>
      <c r="AJ2061" s="5" t="s">
        <v>3626</v>
      </c>
      <c r="AK2061" s="5" t="s">
        <v>3625</v>
      </c>
    </row>
    <row r="2062" spans="35:37">
      <c r="AI2062" s="468">
        <v>44434</v>
      </c>
      <c r="AJ2062" s="5" t="s">
        <v>3628</v>
      </c>
      <c r="AK2062" s="5" t="s">
        <v>3627</v>
      </c>
    </row>
    <row r="2063" spans="35:37">
      <c r="AI2063" s="468">
        <v>44435</v>
      </c>
      <c r="AJ2063" s="5" t="s">
        <v>3617</v>
      </c>
      <c r="AK2063" s="5" t="s">
        <v>3618</v>
      </c>
    </row>
    <row r="2064" spans="35:37">
      <c r="AI2064" s="468">
        <v>44436</v>
      </c>
      <c r="AJ2064" s="5" t="s">
        <v>3619</v>
      </c>
      <c r="AK2064" s="5" t="s">
        <v>3620</v>
      </c>
    </row>
    <row r="2065" spans="35:37">
      <c r="AI2065" s="468">
        <v>44437</v>
      </c>
      <c r="AJ2065" s="5" t="s">
        <v>3621</v>
      </c>
      <c r="AK2065" s="5" t="s">
        <v>3622</v>
      </c>
    </row>
    <row r="2066" spans="35:37">
      <c r="AI2066" s="468">
        <v>44438</v>
      </c>
      <c r="AJ2066" s="5" t="s">
        <v>3579</v>
      </c>
      <c r="AK2066" s="5" t="s">
        <v>3623</v>
      </c>
    </row>
    <row r="2067" spans="35:37">
      <c r="AI2067" s="468">
        <v>44439</v>
      </c>
      <c r="AJ2067" s="5" t="s">
        <v>3624</v>
      </c>
      <c r="AK2067" s="5" t="s">
        <v>3625</v>
      </c>
    </row>
    <row r="2068" spans="35:37">
      <c r="AI2068" s="468">
        <v>44440</v>
      </c>
      <c r="AJ2068" s="5" t="s">
        <v>3626</v>
      </c>
      <c r="AK2068" s="5" t="s">
        <v>3627</v>
      </c>
    </row>
    <row r="2069" spans="35:37">
      <c r="AI2069" s="468">
        <v>44441</v>
      </c>
      <c r="AJ2069" s="5" t="s">
        <v>3628</v>
      </c>
      <c r="AK2069" s="5" t="s">
        <v>3618</v>
      </c>
    </row>
    <row r="2070" spans="35:37">
      <c r="AI2070" s="468">
        <v>44442</v>
      </c>
      <c r="AJ2070" s="5" t="s">
        <v>3617</v>
      </c>
      <c r="AK2070" s="5" t="s">
        <v>3620</v>
      </c>
    </row>
    <row r="2071" spans="35:37">
      <c r="AI2071" s="468">
        <v>44443</v>
      </c>
      <c r="AJ2071" s="5" t="s">
        <v>3619</v>
      </c>
      <c r="AK2071" s="5" t="s">
        <v>3622</v>
      </c>
    </row>
    <row r="2072" spans="35:37">
      <c r="AI2072" s="468">
        <v>44444</v>
      </c>
      <c r="AJ2072" s="5" t="s">
        <v>3621</v>
      </c>
      <c r="AK2072" s="5" t="s">
        <v>3623</v>
      </c>
    </row>
    <row r="2073" spans="35:37">
      <c r="AI2073" s="468">
        <v>44445</v>
      </c>
      <c r="AJ2073" s="5" t="s">
        <v>3579</v>
      </c>
      <c r="AK2073" s="5" t="s">
        <v>3625</v>
      </c>
    </row>
    <row r="2074" spans="35:37">
      <c r="AI2074" s="468">
        <v>44446</v>
      </c>
      <c r="AJ2074" s="5" t="s">
        <v>3624</v>
      </c>
      <c r="AK2074" s="5" t="s">
        <v>3618</v>
      </c>
    </row>
    <row r="2075" spans="35:37">
      <c r="AI2075" s="468">
        <v>44447</v>
      </c>
      <c r="AJ2075" s="5" t="s">
        <v>3626</v>
      </c>
      <c r="AK2075" s="5" t="s">
        <v>3620</v>
      </c>
    </row>
    <row r="2076" spans="35:37">
      <c r="AI2076" s="468">
        <v>44448</v>
      </c>
      <c r="AJ2076" s="5" t="s">
        <v>3628</v>
      </c>
      <c r="AK2076" s="5" t="s">
        <v>3622</v>
      </c>
    </row>
    <row r="2077" spans="35:37">
      <c r="AI2077" s="468">
        <v>44449</v>
      </c>
      <c r="AJ2077" s="5" t="s">
        <v>3617</v>
      </c>
      <c r="AK2077" s="5" t="s">
        <v>3623</v>
      </c>
    </row>
    <row r="2078" spans="35:37">
      <c r="AI2078" s="468">
        <v>44450</v>
      </c>
      <c r="AJ2078" s="5" t="s">
        <v>3619</v>
      </c>
      <c r="AK2078" s="5" t="s">
        <v>3625</v>
      </c>
    </row>
    <row r="2079" spans="35:37">
      <c r="AI2079" s="468">
        <v>44451</v>
      </c>
      <c r="AJ2079" s="5" t="s">
        <v>3621</v>
      </c>
      <c r="AK2079" s="5" t="s">
        <v>3627</v>
      </c>
    </row>
    <row r="2080" spans="35:37">
      <c r="AI2080" s="468">
        <v>44452</v>
      </c>
      <c r="AJ2080" s="5" t="s">
        <v>3579</v>
      </c>
      <c r="AK2080" s="5" t="s">
        <v>3618</v>
      </c>
    </row>
    <row r="2081" spans="35:37">
      <c r="AI2081" s="468">
        <v>44453</v>
      </c>
      <c r="AJ2081" s="5" t="s">
        <v>3624</v>
      </c>
      <c r="AK2081" s="5" t="s">
        <v>3620</v>
      </c>
    </row>
    <row r="2082" spans="35:37">
      <c r="AI2082" s="468">
        <v>44454</v>
      </c>
      <c r="AJ2082" s="5" t="s">
        <v>3626</v>
      </c>
      <c r="AK2082" s="5" t="s">
        <v>3622</v>
      </c>
    </row>
    <row r="2083" spans="35:37">
      <c r="AI2083" s="468">
        <v>44455</v>
      </c>
      <c r="AJ2083" s="5" t="s">
        <v>3628</v>
      </c>
      <c r="AK2083" s="5" t="s">
        <v>3623</v>
      </c>
    </row>
    <row r="2084" spans="35:37">
      <c r="AI2084" s="468">
        <v>44456</v>
      </c>
      <c r="AJ2084" s="5" t="s">
        <v>3617</v>
      </c>
      <c r="AK2084" s="5" t="s">
        <v>3625</v>
      </c>
    </row>
    <row r="2085" spans="35:37">
      <c r="AI2085" s="468">
        <v>44457</v>
      </c>
      <c r="AJ2085" s="5" t="s">
        <v>3619</v>
      </c>
      <c r="AK2085" s="5" t="s">
        <v>3627</v>
      </c>
    </row>
    <row r="2086" spans="35:37">
      <c r="AI2086" s="468">
        <v>44458</v>
      </c>
      <c r="AJ2086" s="5" t="s">
        <v>3621</v>
      </c>
      <c r="AK2086" s="5" t="s">
        <v>3618</v>
      </c>
    </row>
    <row r="2087" spans="35:37">
      <c r="AI2087" s="468">
        <v>44459</v>
      </c>
      <c r="AJ2087" s="5" t="s">
        <v>3579</v>
      </c>
      <c r="AK2087" s="5" t="s">
        <v>3620</v>
      </c>
    </row>
    <row r="2088" spans="35:37">
      <c r="AI2088" s="468">
        <v>44460</v>
      </c>
      <c r="AJ2088" s="5" t="s">
        <v>3624</v>
      </c>
      <c r="AK2088" s="5" t="s">
        <v>3622</v>
      </c>
    </row>
    <row r="2089" spans="35:37">
      <c r="AI2089" s="468">
        <v>44461</v>
      </c>
      <c r="AJ2089" s="5" t="s">
        <v>3626</v>
      </c>
      <c r="AK2089" s="5" t="s">
        <v>3623</v>
      </c>
    </row>
    <row r="2090" spans="35:37">
      <c r="AI2090" s="468">
        <v>44462</v>
      </c>
      <c r="AJ2090" s="5" t="s">
        <v>3628</v>
      </c>
      <c r="AK2090" s="5" t="s">
        <v>3625</v>
      </c>
    </row>
    <row r="2091" spans="35:37">
      <c r="AI2091" s="468">
        <v>44463</v>
      </c>
      <c r="AJ2091" s="5" t="s">
        <v>3617</v>
      </c>
      <c r="AK2091" s="5" t="s">
        <v>3627</v>
      </c>
    </row>
    <row r="2092" spans="35:37">
      <c r="AI2092" s="468">
        <v>44464</v>
      </c>
      <c r="AJ2092" s="5" t="s">
        <v>3619</v>
      </c>
      <c r="AK2092" s="5" t="s">
        <v>3618</v>
      </c>
    </row>
    <row r="2093" spans="35:37">
      <c r="AI2093" s="468">
        <v>44465</v>
      </c>
      <c r="AJ2093" s="5" t="s">
        <v>3621</v>
      </c>
      <c r="AK2093" s="5" t="s">
        <v>3620</v>
      </c>
    </row>
    <row r="2094" spans="35:37">
      <c r="AI2094" s="468">
        <v>44466</v>
      </c>
      <c r="AJ2094" s="5" t="s">
        <v>3579</v>
      </c>
      <c r="AK2094" s="5" t="s">
        <v>3622</v>
      </c>
    </row>
    <row r="2095" spans="35:37">
      <c r="AI2095" s="468">
        <v>44467</v>
      </c>
      <c r="AJ2095" s="5" t="s">
        <v>3624</v>
      </c>
      <c r="AK2095" s="5" t="s">
        <v>3623</v>
      </c>
    </row>
    <row r="2096" spans="35:37">
      <c r="AI2096" s="468">
        <v>44468</v>
      </c>
      <c r="AJ2096" s="5" t="s">
        <v>3626</v>
      </c>
      <c r="AK2096" s="5" t="s">
        <v>3625</v>
      </c>
    </row>
    <row r="2097" spans="35:37">
      <c r="AI2097" s="468">
        <v>44469</v>
      </c>
      <c r="AJ2097" s="5" t="s">
        <v>3628</v>
      </c>
      <c r="AK2097" s="5" t="s">
        <v>3627</v>
      </c>
    </row>
    <row r="2098" spans="35:37">
      <c r="AI2098" s="468">
        <v>44470</v>
      </c>
      <c r="AJ2098" s="5" t="s">
        <v>3617</v>
      </c>
      <c r="AK2098" s="5" t="s">
        <v>3618</v>
      </c>
    </row>
    <row r="2099" spans="35:37">
      <c r="AI2099" s="468">
        <v>44471</v>
      </c>
      <c r="AJ2099" s="5" t="s">
        <v>3619</v>
      </c>
      <c r="AK2099" s="5" t="s">
        <v>3620</v>
      </c>
    </row>
    <row r="2100" spans="35:37">
      <c r="AI2100" s="468">
        <v>44472</v>
      </c>
      <c r="AJ2100" s="5" t="s">
        <v>3621</v>
      </c>
      <c r="AK2100" s="5" t="s">
        <v>3622</v>
      </c>
    </row>
    <row r="2101" spans="35:37">
      <c r="AI2101" s="468">
        <v>44473</v>
      </c>
      <c r="AJ2101" s="5" t="s">
        <v>3579</v>
      </c>
      <c r="AK2101" s="5" t="s">
        <v>3623</v>
      </c>
    </row>
    <row r="2102" spans="35:37">
      <c r="AI2102" s="468">
        <v>44474</v>
      </c>
      <c r="AJ2102" s="5" t="s">
        <v>3624</v>
      </c>
      <c r="AK2102" s="5" t="s">
        <v>3625</v>
      </c>
    </row>
    <row r="2103" spans="35:37">
      <c r="AI2103" s="468">
        <v>44475</v>
      </c>
      <c r="AJ2103" s="5" t="s">
        <v>3626</v>
      </c>
      <c r="AK2103" s="5" t="s">
        <v>3620</v>
      </c>
    </row>
    <row r="2104" spans="35:37">
      <c r="AI2104" s="468">
        <v>44476</v>
      </c>
      <c r="AJ2104" s="5" t="s">
        <v>3628</v>
      </c>
      <c r="AK2104" s="5" t="s">
        <v>3622</v>
      </c>
    </row>
    <row r="2105" spans="35:37">
      <c r="AI2105" s="468">
        <v>44477</v>
      </c>
      <c r="AJ2105" s="5" t="s">
        <v>3617</v>
      </c>
      <c r="AK2105" s="5" t="s">
        <v>3623</v>
      </c>
    </row>
    <row r="2106" spans="35:37">
      <c r="AI2106" s="468">
        <v>44478</v>
      </c>
      <c r="AJ2106" s="5" t="s">
        <v>3619</v>
      </c>
      <c r="AK2106" s="5" t="s">
        <v>3625</v>
      </c>
    </row>
    <row r="2107" spans="35:37">
      <c r="AI2107" s="468">
        <v>44479</v>
      </c>
      <c r="AJ2107" s="5" t="s">
        <v>3621</v>
      </c>
      <c r="AK2107" s="5" t="s">
        <v>3627</v>
      </c>
    </row>
    <row r="2108" spans="35:37">
      <c r="AI2108" s="468">
        <v>44480</v>
      </c>
      <c r="AJ2108" s="5" t="s">
        <v>3579</v>
      </c>
      <c r="AK2108" s="5" t="s">
        <v>3618</v>
      </c>
    </row>
    <row r="2109" spans="35:37">
      <c r="AI2109" s="468">
        <v>44481</v>
      </c>
      <c r="AJ2109" s="5" t="s">
        <v>3624</v>
      </c>
      <c r="AK2109" s="5" t="s">
        <v>3620</v>
      </c>
    </row>
    <row r="2110" spans="35:37">
      <c r="AI2110" s="468">
        <v>44482</v>
      </c>
      <c r="AJ2110" s="5" t="s">
        <v>3626</v>
      </c>
      <c r="AK2110" s="5" t="s">
        <v>3622</v>
      </c>
    </row>
    <row r="2111" spans="35:37">
      <c r="AI2111" s="468">
        <v>44483</v>
      </c>
      <c r="AJ2111" s="5" t="s">
        <v>3628</v>
      </c>
      <c r="AK2111" s="5" t="s">
        <v>3623</v>
      </c>
    </row>
    <row r="2112" spans="35:37">
      <c r="AI2112" s="468">
        <v>44484</v>
      </c>
      <c r="AJ2112" s="5" t="s">
        <v>3617</v>
      </c>
      <c r="AK2112" s="5" t="s">
        <v>3625</v>
      </c>
    </row>
    <row r="2113" spans="35:37">
      <c r="AI2113" s="468">
        <v>44485</v>
      </c>
      <c r="AJ2113" s="5" t="s">
        <v>3619</v>
      </c>
      <c r="AK2113" s="5" t="s">
        <v>3627</v>
      </c>
    </row>
    <row r="2114" spans="35:37">
      <c r="AI2114" s="468">
        <v>44486</v>
      </c>
      <c r="AJ2114" s="5" t="s">
        <v>3621</v>
      </c>
      <c r="AK2114" s="5" t="s">
        <v>3618</v>
      </c>
    </row>
    <row r="2115" spans="35:37">
      <c r="AI2115" s="468">
        <v>44487</v>
      </c>
      <c r="AJ2115" s="5" t="s">
        <v>3579</v>
      </c>
      <c r="AK2115" s="5" t="s">
        <v>3620</v>
      </c>
    </row>
    <row r="2116" spans="35:37">
      <c r="AI2116" s="468">
        <v>44488</v>
      </c>
      <c r="AJ2116" s="5" t="s">
        <v>3624</v>
      </c>
      <c r="AK2116" s="5" t="s">
        <v>3622</v>
      </c>
    </row>
    <row r="2117" spans="35:37">
      <c r="AI2117" s="468">
        <v>44489</v>
      </c>
      <c r="AJ2117" s="5" t="s">
        <v>3626</v>
      </c>
      <c r="AK2117" s="5" t="s">
        <v>3623</v>
      </c>
    </row>
    <row r="2118" spans="35:37">
      <c r="AI2118" s="468">
        <v>44490</v>
      </c>
      <c r="AJ2118" s="5" t="s">
        <v>3628</v>
      </c>
      <c r="AK2118" s="5" t="s">
        <v>3625</v>
      </c>
    </row>
    <row r="2119" spans="35:37">
      <c r="AI2119" s="468">
        <v>44491</v>
      </c>
      <c r="AJ2119" s="5" t="s">
        <v>3617</v>
      </c>
      <c r="AK2119" s="5" t="s">
        <v>3627</v>
      </c>
    </row>
    <row r="2120" spans="35:37">
      <c r="AI2120" s="468">
        <v>44492</v>
      </c>
      <c r="AJ2120" s="5" t="s">
        <v>3619</v>
      </c>
      <c r="AK2120" s="5" t="s">
        <v>3618</v>
      </c>
    </row>
    <row r="2121" spans="35:37">
      <c r="AI2121" s="468">
        <v>44493</v>
      </c>
      <c r="AJ2121" s="5" t="s">
        <v>3621</v>
      </c>
      <c r="AK2121" s="5" t="s">
        <v>3620</v>
      </c>
    </row>
    <row r="2122" spans="35:37">
      <c r="AI2122" s="468">
        <v>44494</v>
      </c>
      <c r="AJ2122" s="5" t="s">
        <v>3579</v>
      </c>
      <c r="AK2122" s="5" t="s">
        <v>3622</v>
      </c>
    </row>
    <row r="2123" spans="35:37">
      <c r="AI2123" s="468">
        <v>44495</v>
      </c>
      <c r="AJ2123" s="5" t="s">
        <v>3624</v>
      </c>
      <c r="AK2123" s="5" t="s">
        <v>3623</v>
      </c>
    </row>
    <row r="2124" spans="35:37">
      <c r="AI2124" s="468">
        <v>44496</v>
      </c>
      <c r="AJ2124" s="5" t="s">
        <v>3626</v>
      </c>
      <c r="AK2124" s="5" t="s">
        <v>3625</v>
      </c>
    </row>
    <row r="2125" spans="35:37">
      <c r="AI2125" s="468">
        <v>44497</v>
      </c>
      <c r="AJ2125" s="5" t="s">
        <v>3628</v>
      </c>
      <c r="AK2125" s="5" t="s">
        <v>3627</v>
      </c>
    </row>
    <row r="2126" spans="35:37">
      <c r="AI2126" s="468">
        <v>44498</v>
      </c>
      <c r="AJ2126" s="5" t="s">
        <v>3617</v>
      </c>
      <c r="AK2126" s="5" t="s">
        <v>3618</v>
      </c>
    </row>
    <row r="2127" spans="35:37">
      <c r="AI2127" s="468">
        <v>44499</v>
      </c>
      <c r="AJ2127" s="5" t="s">
        <v>3619</v>
      </c>
      <c r="AK2127" s="5" t="s">
        <v>3620</v>
      </c>
    </row>
    <row r="2128" spans="35:37">
      <c r="AI2128" s="468">
        <v>44500</v>
      </c>
      <c r="AJ2128" s="5" t="s">
        <v>3621</v>
      </c>
      <c r="AK2128" s="5" t="s">
        <v>3622</v>
      </c>
    </row>
    <row r="2129" spans="35:37">
      <c r="AI2129" s="468">
        <v>44501</v>
      </c>
      <c r="AJ2129" s="5" t="s">
        <v>3579</v>
      </c>
      <c r="AK2129" s="5" t="s">
        <v>3623</v>
      </c>
    </row>
    <row r="2130" spans="35:37">
      <c r="AI2130" s="468">
        <v>44502</v>
      </c>
      <c r="AJ2130" s="5" t="s">
        <v>3624</v>
      </c>
      <c r="AK2130" s="5" t="s">
        <v>3625</v>
      </c>
    </row>
    <row r="2131" spans="35:37">
      <c r="AI2131" s="468">
        <v>44503</v>
      </c>
      <c r="AJ2131" s="5" t="s">
        <v>3626</v>
      </c>
      <c r="AK2131" s="5" t="s">
        <v>3627</v>
      </c>
    </row>
    <row r="2132" spans="35:37">
      <c r="AI2132" s="468">
        <v>44504</v>
      </c>
      <c r="AJ2132" s="5" t="s">
        <v>3628</v>
      </c>
      <c r="AK2132" s="5" t="s">
        <v>3618</v>
      </c>
    </row>
    <row r="2133" spans="35:37">
      <c r="AI2133" s="468">
        <v>44505</v>
      </c>
      <c r="AJ2133" s="5" t="s">
        <v>3617</v>
      </c>
      <c r="AK2133" s="5" t="s">
        <v>3622</v>
      </c>
    </row>
    <row r="2134" spans="35:37">
      <c r="AI2134" s="468">
        <v>44506</v>
      </c>
      <c r="AJ2134" s="5" t="s">
        <v>3619</v>
      </c>
      <c r="AK2134" s="5" t="s">
        <v>3623</v>
      </c>
    </row>
    <row r="2135" spans="35:37">
      <c r="AI2135" s="468">
        <v>44507</v>
      </c>
      <c r="AJ2135" s="5" t="s">
        <v>3621</v>
      </c>
      <c r="AK2135" s="5" t="s">
        <v>3625</v>
      </c>
    </row>
    <row r="2136" spans="35:37">
      <c r="AI2136" s="468">
        <v>44508</v>
      </c>
      <c r="AJ2136" s="5" t="s">
        <v>3579</v>
      </c>
      <c r="AK2136" s="5" t="s">
        <v>3627</v>
      </c>
    </row>
    <row r="2137" spans="35:37">
      <c r="AI2137" s="468">
        <v>44509</v>
      </c>
      <c r="AJ2137" s="5" t="s">
        <v>3624</v>
      </c>
      <c r="AK2137" s="5" t="s">
        <v>3618</v>
      </c>
    </row>
    <row r="2138" spans="35:37">
      <c r="AI2138" s="468">
        <v>44510</v>
      </c>
      <c r="AJ2138" s="5" t="s">
        <v>3626</v>
      </c>
      <c r="AK2138" s="5" t="s">
        <v>3620</v>
      </c>
    </row>
    <row r="2139" spans="35:37">
      <c r="AI2139" s="468">
        <v>44511</v>
      </c>
      <c r="AJ2139" s="5" t="s">
        <v>3628</v>
      </c>
      <c r="AK2139" s="5" t="s">
        <v>3622</v>
      </c>
    </row>
    <row r="2140" spans="35:37">
      <c r="AI2140" s="468">
        <v>44512</v>
      </c>
      <c r="AJ2140" s="5" t="s">
        <v>3617</v>
      </c>
      <c r="AK2140" s="5" t="s">
        <v>3623</v>
      </c>
    </row>
    <row r="2141" spans="35:37">
      <c r="AI2141" s="468">
        <v>44513</v>
      </c>
      <c r="AJ2141" s="5" t="s">
        <v>3619</v>
      </c>
      <c r="AK2141" s="5" t="s">
        <v>3625</v>
      </c>
    </row>
    <row r="2142" spans="35:37">
      <c r="AI2142" s="468">
        <v>44514</v>
      </c>
      <c r="AJ2142" s="5" t="s">
        <v>3621</v>
      </c>
      <c r="AK2142" s="5" t="s">
        <v>3627</v>
      </c>
    </row>
    <row r="2143" spans="35:37">
      <c r="AI2143" s="468">
        <v>44515</v>
      </c>
      <c r="AJ2143" s="5" t="s">
        <v>3579</v>
      </c>
      <c r="AK2143" s="5" t="s">
        <v>3618</v>
      </c>
    </row>
    <row r="2144" spans="35:37">
      <c r="AI2144" s="468">
        <v>44516</v>
      </c>
      <c r="AJ2144" s="5" t="s">
        <v>3624</v>
      </c>
      <c r="AK2144" s="5" t="s">
        <v>3620</v>
      </c>
    </row>
    <row r="2145" spans="35:37">
      <c r="AI2145" s="468">
        <v>44517</v>
      </c>
      <c r="AJ2145" s="5" t="s">
        <v>3626</v>
      </c>
      <c r="AK2145" s="5" t="s">
        <v>3622</v>
      </c>
    </row>
    <row r="2146" spans="35:37">
      <c r="AI2146" s="468">
        <v>44518</v>
      </c>
      <c r="AJ2146" s="5" t="s">
        <v>3628</v>
      </c>
      <c r="AK2146" s="5" t="s">
        <v>3623</v>
      </c>
    </row>
    <row r="2147" spans="35:37">
      <c r="AI2147" s="468">
        <v>44519</v>
      </c>
      <c r="AJ2147" s="5" t="s">
        <v>3617</v>
      </c>
      <c r="AK2147" s="5" t="s">
        <v>3625</v>
      </c>
    </row>
    <row r="2148" spans="35:37">
      <c r="AI2148" s="468">
        <v>44520</v>
      </c>
      <c r="AJ2148" s="5" t="s">
        <v>3619</v>
      </c>
      <c r="AK2148" s="5" t="s">
        <v>3627</v>
      </c>
    </row>
    <row r="2149" spans="35:37">
      <c r="AI2149" s="468">
        <v>44521</v>
      </c>
      <c r="AJ2149" s="5" t="s">
        <v>3621</v>
      </c>
      <c r="AK2149" s="5" t="s">
        <v>3618</v>
      </c>
    </row>
    <row r="2150" spans="35:37">
      <c r="AI2150" s="468">
        <v>44522</v>
      </c>
      <c r="AJ2150" s="5" t="s">
        <v>3579</v>
      </c>
      <c r="AK2150" s="5" t="s">
        <v>3620</v>
      </c>
    </row>
    <row r="2151" spans="35:37">
      <c r="AI2151" s="468">
        <v>44523</v>
      </c>
      <c r="AJ2151" s="5" t="s">
        <v>3624</v>
      </c>
      <c r="AK2151" s="5" t="s">
        <v>3622</v>
      </c>
    </row>
    <row r="2152" spans="35:37">
      <c r="AI2152" s="468">
        <v>44524</v>
      </c>
      <c r="AJ2152" s="5" t="s">
        <v>3626</v>
      </c>
      <c r="AK2152" s="5" t="s">
        <v>3623</v>
      </c>
    </row>
    <row r="2153" spans="35:37">
      <c r="AI2153" s="468">
        <v>44525</v>
      </c>
      <c r="AJ2153" s="5" t="s">
        <v>3628</v>
      </c>
      <c r="AK2153" s="5" t="s">
        <v>3625</v>
      </c>
    </row>
    <row r="2154" spans="35:37">
      <c r="AI2154" s="468">
        <v>44526</v>
      </c>
      <c r="AJ2154" s="5" t="s">
        <v>3617</v>
      </c>
      <c r="AK2154" s="5" t="s">
        <v>3627</v>
      </c>
    </row>
    <row r="2155" spans="35:37">
      <c r="AI2155" s="468">
        <v>44527</v>
      </c>
      <c r="AJ2155" s="5" t="s">
        <v>3619</v>
      </c>
      <c r="AK2155" s="5" t="s">
        <v>3618</v>
      </c>
    </row>
    <row r="2156" spans="35:37">
      <c r="AI2156" s="468">
        <v>44528</v>
      </c>
      <c r="AJ2156" s="5" t="s">
        <v>3621</v>
      </c>
      <c r="AK2156" s="5" t="s">
        <v>3620</v>
      </c>
    </row>
    <row r="2157" spans="35:37">
      <c r="AI2157" s="468">
        <v>44529</v>
      </c>
      <c r="AJ2157" s="5" t="s">
        <v>3579</v>
      </c>
      <c r="AK2157" s="5" t="s">
        <v>3622</v>
      </c>
    </row>
    <row r="2158" spans="35:37">
      <c r="AI2158" s="468">
        <v>44530</v>
      </c>
      <c r="AJ2158" s="5" t="s">
        <v>3624</v>
      </c>
      <c r="AK2158" s="5" t="s">
        <v>3623</v>
      </c>
    </row>
    <row r="2159" spans="35:37">
      <c r="AI2159" s="468">
        <v>44531</v>
      </c>
      <c r="AJ2159" s="5" t="s">
        <v>3626</v>
      </c>
      <c r="AK2159" s="5" t="s">
        <v>3625</v>
      </c>
    </row>
    <row r="2160" spans="35:37">
      <c r="AI2160" s="468">
        <v>44532</v>
      </c>
      <c r="AJ2160" s="5" t="s">
        <v>3628</v>
      </c>
      <c r="AK2160" s="5" t="s">
        <v>3627</v>
      </c>
    </row>
    <row r="2161" spans="35:37">
      <c r="AI2161" s="468">
        <v>44533</v>
      </c>
      <c r="AJ2161" s="5" t="s">
        <v>3617</v>
      </c>
      <c r="AK2161" s="5" t="s">
        <v>3618</v>
      </c>
    </row>
    <row r="2162" spans="35:37">
      <c r="AI2162" s="468">
        <v>44534</v>
      </c>
      <c r="AJ2162" s="5" t="s">
        <v>3619</v>
      </c>
      <c r="AK2162" s="5" t="s">
        <v>3623</v>
      </c>
    </row>
    <row r="2163" spans="35:37">
      <c r="AI2163" s="468">
        <v>44535</v>
      </c>
      <c r="AJ2163" s="5" t="s">
        <v>3621</v>
      </c>
      <c r="AK2163" s="5" t="s">
        <v>3625</v>
      </c>
    </row>
    <row r="2164" spans="35:37">
      <c r="AI2164" s="468">
        <v>44536</v>
      </c>
      <c r="AJ2164" s="5" t="s">
        <v>3579</v>
      </c>
      <c r="AK2164" s="5" t="s">
        <v>3627</v>
      </c>
    </row>
    <row r="2165" spans="35:37">
      <c r="AI2165" s="468">
        <v>44537</v>
      </c>
      <c r="AJ2165" s="5" t="s">
        <v>3624</v>
      </c>
      <c r="AK2165" s="5" t="s">
        <v>3618</v>
      </c>
    </row>
    <row r="2166" spans="35:37">
      <c r="AI2166" s="468">
        <v>44538</v>
      </c>
      <c r="AJ2166" s="5" t="s">
        <v>3626</v>
      </c>
      <c r="AK2166" s="5" t="s">
        <v>3620</v>
      </c>
    </row>
    <row r="2167" spans="35:37">
      <c r="AI2167" s="468">
        <v>44539</v>
      </c>
      <c r="AJ2167" s="5" t="s">
        <v>3628</v>
      </c>
      <c r="AK2167" s="5" t="s">
        <v>3622</v>
      </c>
    </row>
    <row r="2168" spans="35:37">
      <c r="AI2168" s="468">
        <v>44540</v>
      </c>
      <c r="AJ2168" s="5" t="s">
        <v>3617</v>
      </c>
      <c r="AK2168" s="5" t="s">
        <v>3623</v>
      </c>
    </row>
    <row r="2169" spans="35:37">
      <c r="AI2169" s="468">
        <v>44541</v>
      </c>
      <c r="AJ2169" s="5" t="s">
        <v>3619</v>
      </c>
      <c r="AK2169" s="5" t="s">
        <v>3625</v>
      </c>
    </row>
    <row r="2170" spans="35:37">
      <c r="AI2170" s="468">
        <v>44542</v>
      </c>
      <c r="AJ2170" s="5" t="s">
        <v>3621</v>
      </c>
      <c r="AK2170" s="5" t="s">
        <v>3627</v>
      </c>
    </row>
    <row r="2171" spans="35:37">
      <c r="AI2171" s="468">
        <v>44543</v>
      </c>
      <c r="AJ2171" s="5" t="s">
        <v>3579</v>
      </c>
      <c r="AK2171" s="5" t="s">
        <v>3618</v>
      </c>
    </row>
    <row r="2172" spans="35:37">
      <c r="AI2172" s="468">
        <v>44544</v>
      </c>
      <c r="AJ2172" s="5" t="s">
        <v>3624</v>
      </c>
      <c r="AK2172" s="5" t="s">
        <v>3620</v>
      </c>
    </row>
    <row r="2173" spans="35:37">
      <c r="AI2173" s="468">
        <v>44545</v>
      </c>
      <c r="AJ2173" s="5" t="s">
        <v>3626</v>
      </c>
      <c r="AK2173" s="5" t="s">
        <v>3622</v>
      </c>
    </row>
    <row r="2174" spans="35:37">
      <c r="AI2174" s="468">
        <v>44546</v>
      </c>
      <c r="AJ2174" s="5" t="s">
        <v>3628</v>
      </c>
      <c r="AK2174" s="5" t="s">
        <v>3623</v>
      </c>
    </row>
    <row r="2175" spans="35:37">
      <c r="AI2175" s="468">
        <v>44547</v>
      </c>
      <c r="AJ2175" s="5" t="s">
        <v>3617</v>
      </c>
      <c r="AK2175" s="5" t="s">
        <v>3625</v>
      </c>
    </row>
    <row r="2176" spans="35:37">
      <c r="AI2176" s="468">
        <v>44548</v>
      </c>
      <c r="AJ2176" s="5" t="s">
        <v>3619</v>
      </c>
      <c r="AK2176" s="5" t="s">
        <v>3627</v>
      </c>
    </row>
    <row r="2177" spans="35:37">
      <c r="AI2177" s="468">
        <v>44549</v>
      </c>
      <c r="AJ2177" s="5" t="s">
        <v>3621</v>
      </c>
      <c r="AK2177" s="5" t="s">
        <v>3618</v>
      </c>
    </row>
    <row r="2178" spans="35:37">
      <c r="AI2178" s="468">
        <v>44550</v>
      </c>
      <c r="AJ2178" s="5" t="s">
        <v>3579</v>
      </c>
      <c r="AK2178" s="5" t="s">
        <v>3620</v>
      </c>
    </row>
    <row r="2179" spans="35:37">
      <c r="AI2179" s="468">
        <v>44551</v>
      </c>
      <c r="AJ2179" s="5" t="s">
        <v>3624</v>
      </c>
      <c r="AK2179" s="5" t="s">
        <v>3622</v>
      </c>
    </row>
    <row r="2180" spans="35:37">
      <c r="AI2180" s="468">
        <v>44552</v>
      </c>
      <c r="AJ2180" s="5" t="s">
        <v>3626</v>
      </c>
      <c r="AK2180" s="5" t="s">
        <v>3623</v>
      </c>
    </row>
    <row r="2181" spans="35:37">
      <c r="AI2181" s="468">
        <v>44553</v>
      </c>
      <c r="AJ2181" s="5" t="s">
        <v>3628</v>
      </c>
      <c r="AK2181" s="5" t="s">
        <v>3625</v>
      </c>
    </row>
    <row r="2182" spans="35:37">
      <c r="AI2182" s="468">
        <v>44554</v>
      </c>
      <c r="AJ2182" s="5" t="s">
        <v>3617</v>
      </c>
      <c r="AK2182" s="5" t="s">
        <v>3627</v>
      </c>
    </row>
    <row r="2183" spans="35:37">
      <c r="AI2183" s="468">
        <v>44555</v>
      </c>
      <c r="AJ2183" s="5" t="s">
        <v>3619</v>
      </c>
      <c r="AK2183" s="5" t="s">
        <v>3618</v>
      </c>
    </row>
    <row r="2184" spans="35:37">
      <c r="AI2184" s="468">
        <v>44556</v>
      </c>
      <c r="AJ2184" s="5" t="s">
        <v>3621</v>
      </c>
      <c r="AK2184" s="5" t="s">
        <v>3620</v>
      </c>
    </row>
    <row r="2185" spans="35:37">
      <c r="AI2185" s="468">
        <v>44557</v>
      </c>
      <c r="AJ2185" s="5" t="s">
        <v>3579</v>
      </c>
      <c r="AK2185" s="5" t="s">
        <v>3622</v>
      </c>
    </row>
    <row r="2186" spans="35:37">
      <c r="AI2186" s="468">
        <v>44558</v>
      </c>
      <c r="AJ2186" s="5" t="s">
        <v>3624</v>
      </c>
      <c r="AK2186" s="5" t="s">
        <v>3623</v>
      </c>
    </row>
    <row r="2187" spans="35:37">
      <c r="AI2187" s="468">
        <v>44559</v>
      </c>
      <c r="AJ2187" s="5" t="s">
        <v>3626</v>
      </c>
      <c r="AK2187" s="5" t="s">
        <v>3625</v>
      </c>
    </row>
    <row r="2188" spans="35:37">
      <c r="AI2188" s="468">
        <v>44560</v>
      </c>
      <c r="AJ2188" s="5" t="s">
        <v>3628</v>
      </c>
      <c r="AK2188" s="5" t="s">
        <v>3627</v>
      </c>
    </row>
    <row r="2189" spans="35:37">
      <c r="AI2189" s="468">
        <v>44561</v>
      </c>
      <c r="AJ2189" s="5" t="s">
        <v>3617</v>
      </c>
      <c r="AK2189" s="5" t="s">
        <v>3618</v>
      </c>
    </row>
    <row r="2190" spans="35:37">
      <c r="AI2190" s="468">
        <v>44562</v>
      </c>
      <c r="AJ2190" s="5" t="s">
        <v>3619</v>
      </c>
      <c r="AK2190" s="5" t="s">
        <v>3620</v>
      </c>
    </row>
    <row r="2191" spans="35:37">
      <c r="AI2191" s="468">
        <v>44563</v>
      </c>
      <c r="AJ2191" s="5" t="s">
        <v>3621</v>
      </c>
      <c r="AK2191" s="5" t="s">
        <v>3622</v>
      </c>
    </row>
    <row r="2192" spans="35:37">
      <c r="AI2192" s="468">
        <v>44564</v>
      </c>
      <c r="AJ2192" s="5" t="s">
        <v>3579</v>
      </c>
      <c r="AK2192" s="5" t="s">
        <v>3625</v>
      </c>
    </row>
    <row r="2193" spans="35:37">
      <c r="AI2193" s="468">
        <v>44565</v>
      </c>
      <c r="AJ2193" s="5" t="s">
        <v>3624</v>
      </c>
      <c r="AK2193" s="5" t="s">
        <v>3627</v>
      </c>
    </row>
    <row r="2194" spans="35:37">
      <c r="AI2194" s="468">
        <v>44566</v>
      </c>
      <c r="AJ2194" s="5" t="s">
        <v>3626</v>
      </c>
      <c r="AK2194" s="5" t="s">
        <v>3618</v>
      </c>
    </row>
    <row r="2195" spans="35:37">
      <c r="AI2195" s="468">
        <v>44567</v>
      </c>
      <c r="AJ2195" s="5" t="s">
        <v>3628</v>
      </c>
      <c r="AK2195" s="5" t="s">
        <v>3620</v>
      </c>
    </row>
    <row r="2196" spans="35:37">
      <c r="AI2196" s="468">
        <v>44568</v>
      </c>
      <c r="AJ2196" s="5" t="s">
        <v>3617</v>
      </c>
      <c r="AK2196" s="5" t="s">
        <v>3622</v>
      </c>
    </row>
    <row r="2197" spans="35:37">
      <c r="AI2197" s="468">
        <v>44569</v>
      </c>
      <c r="AJ2197" s="5" t="s">
        <v>3619</v>
      </c>
      <c r="AK2197" s="5" t="s">
        <v>3623</v>
      </c>
    </row>
    <row r="2198" spans="35:37">
      <c r="AI2198" s="468">
        <v>44570</v>
      </c>
      <c r="AJ2198" s="5" t="s">
        <v>3621</v>
      </c>
      <c r="AK2198" s="5" t="s">
        <v>3625</v>
      </c>
    </row>
    <row r="2199" spans="35:37">
      <c r="AI2199" s="468">
        <v>44571</v>
      </c>
      <c r="AJ2199" s="5" t="s">
        <v>3579</v>
      </c>
      <c r="AK2199" s="5" t="s">
        <v>3627</v>
      </c>
    </row>
    <row r="2200" spans="35:37">
      <c r="AI2200" s="468">
        <v>44572</v>
      </c>
      <c r="AJ2200" s="5" t="s">
        <v>3624</v>
      </c>
      <c r="AK2200" s="5" t="s">
        <v>3618</v>
      </c>
    </row>
    <row r="2201" spans="35:37">
      <c r="AI2201" s="468">
        <v>44573</v>
      </c>
      <c r="AJ2201" s="5" t="s">
        <v>3626</v>
      </c>
      <c r="AK2201" s="5" t="s">
        <v>3620</v>
      </c>
    </row>
    <row r="2202" spans="35:37">
      <c r="AI2202" s="468">
        <v>44574</v>
      </c>
      <c r="AJ2202" s="5" t="s">
        <v>3628</v>
      </c>
      <c r="AK2202" s="5" t="s">
        <v>3622</v>
      </c>
    </row>
    <row r="2203" spans="35:37">
      <c r="AI2203" s="468">
        <v>44575</v>
      </c>
      <c r="AJ2203" s="5" t="s">
        <v>3617</v>
      </c>
      <c r="AK2203" s="5" t="s">
        <v>3623</v>
      </c>
    </row>
    <row r="2204" spans="35:37">
      <c r="AI2204" s="468">
        <v>44576</v>
      </c>
      <c r="AJ2204" s="5" t="s">
        <v>3619</v>
      </c>
      <c r="AK2204" s="5" t="s">
        <v>3625</v>
      </c>
    </row>
    <row r="2205" spans="35:37">
      <c r="AI2205" s="468">
        <v>44577</v>
      </c>
      <c r="AJ2205" s="5" t="s">
        <v>3621</v>
      </c>
      <c r="AK2205" s="5" t="s">
        <v>3627</v>
      </c>
    </row>
    <row r="2206" spans="35:37">
      <c r="AI2206" s="468">
        <v>44578</v>
      </c>
      <c r="AJ2206" s="5" t="s">
        <v>3579</v>
      </c>
      <c r="AK2206" s="5" t="s">
        <v>3618</v>
      </c>
    </row>
    <row r="2207" spans="35:37">
      <c r="AI2207" s="468">
        <v>44579</v>
      </c>
      <c r="AJ2207" s="5" t="s">
        <v>3624</v>
      </c>
      <c r="AK2207" s="5" t="s">
        <v>3620</v>
      </c>
    </row>
    <row r="2208" spans="35:37">
      <c r="AI2208" s="468">
        <v>44580</v>
      </c>
      <c r="AJ2208" s="5" t="s">
        <v>3626</v>
      </c>
      <c r="AK2208" s="5" t="s">
        <v>3622</v>
      </c>
    </row>
    <row r="2209" spans="35:37">
      <c r="AI2209" s="468">
        <v>44581</v>
      </c>
      <c r="AJ2209" s="5" t="s">
        <v>3628</v>
      </c>
      <c r="AK2209" s="5" t="s">
        <v>3623</v>
      </c>
    </row>
    <row r="2210" spans="35:37">
      <c r="AI2210" s="468">
        <v>44582</v>
      </c>
      <c r="AJ2210" s="5" t="s">
        <v>3617</v>
      </c>
      <c r="AK2210" s="5" t="s">
        <v>3625</v>
      </c>
    </row>
    <row r="2211" spans="35:37">
      <c r="AI2211" s="468">
        <v>44583</v>
      </c>
      <c r="AJ2211" s="5" t="s">
        <v>3619</v>
      </c>
      <c r="AK2211" s="5" t="s">
        <v>3627</v>
      </c>
    </row>
    <row r="2212" spans="35:37">
      <c r="AI2212" s="468">
        <v>44584</v>
      </c>
      <c r="AJ2212" s="5" t="s">
        <v>3621</v>
      </c>
      <c r="AK2212" s="5" t="s">
        <v>3618</v>
      </c>
    </row>
    <row r="2213" spans="35:37">
      <c r="AI2213" s="468">
        <v>44585</v>
      </c>
      <c r="AJ2213" s="5" t="s">
        <v>3579</v>
      </c>
      <c r="AK2213" s="5" t="s">
        <v>3620</v>
      </c>
    </row>
    <row r="2214" spans="35:37">
      <c r="AI2214" s="468">
        <v>44586</v>
      </c>
      <c r="AJ2214" s="5" t="s">
        <v>3624</v>
      </c>
      <c r="AK2214" s="5" t="s">
        <v>3622</v>
      </c>
    </row>
    <row r="2215" spans="35:37">
      <c r="AI2215" s="468">
        <v>44587</v>
      </c>
      <c r="AJ2215" s="5" t="s">
        <v>3626</v>
      </c>
      <c r="AK2215" s="5" t="s">
        <v>3623</v>
      </c>
    </row>
    <row r="2216" spans="35:37">
      <c r="AI2216" s="468">
        <v>44588</v>
      </c>
      <c r="AJ2216" s="5" t="s">
        <v>3628</v>
      </c>
      <c r="AK2216" s="5" t="s">
        <v>3625</v>
      </c>
    </row>
    <row r="2217" spans="35:37">
      <c r="AI2217" s="468">
        <v>44589</v>
      </c>
      <c r="AJ2217" s="5" t="s">
        <v>3617</v>
      </c>
      <c r="AK2217" s="5" t="s">
        <v>3627</v>
      </c>
    </row>
    <row r="2218" spans="35:37">
      <c r="AI2218" s="468">
        <v>44590</v>
      </c>
      <c r="AJ2218" s="5" t="s">
        <v>3619</v>
      </c>
      <c r="AK2218" s="5" t="s">
        <v>3618</v>
      </c>
    </row>
    <row r="2219" spans="35:37">
      <c r="AI2219" s="468">
        <v>44591</v>
      </c>
      <c r="AJ2219" s="5" t="s">
        <v>3621</v>
      </c>
      <c r="AK2219" s="5" t="s">
        <v>3620</v>
      </c>
    </row>
    <row r="2220" spans="35:37">
      <c r="AI2220" s="468">
        <v>44592</v>
      </c>
      <c r="AJ2220" s="5" t="s">
        <v>3579</v>
      </c>
      <c r="AK2220" s="5" t="s">
        <v>3622</v>
      </c>
    </row>
    <row r="2221" spans="35:37">
      <c r="AI2221" s="468">
        <v>44593</v>
      </c>
      <c r="AJ2221" s="5" t="s">
        <v>3624</v>
      </c>
      <c r="AK2221" s="5" t="s">
        <v>3627</v>
      </c>
    </row>
    <row r="2222" spans="35:37">
      <c r="AI2222" s="468">
        <v>44594</v>
      </c>
      <c r="AJ2222" s="5" t="s">
        <v>3626</v>
      </c>
      <c r="AK2222" s="5" t="s">
        <v>3618</v>
      </c>
    </row>
    <row r="2223" spans="35:37">
      <c r="AI2223" s="468">
        <v>44595</v>
      </c>
      <c r="AJ2223" s="5" t="s">
        <v>3628</v>
      </c>
      <c r="AK2223" s="5" t="s">
        <v>3620</v>
      </c>
    </row>
    <row r="2224" spans="35:37">
      <c r="AI2224" s="468">
        <v>44596</v>
      </c>
      <c r="AJ2224" s="5" t="s">
        <v>3617</v>
      </c>
      <c r="AK2224" s="5" t="s">
        <v>3622</v>
      </c>
    </row>
    <row r="2225" spans="35:37">
      <c r="AI2225" s="468">
        <v>44597</v>
      </c>
      <c r="AJ2225" s="5" t="s">
        <v>3619</v>
      </c>
      <c r="AK2225" s="5" t="s">
        <v>3623</v>
      </c>
    </row>
    <row r="2226" spans="35:37">
      <c r="AI2226" s="468">
        <v>44598</v>
      </c>
      <c r="AJ2226" s="5" t="s">
        <v>3621</v>
      </c>
      <c r="AK2226" s="5" t="s">
        <v>3625</v>
      </c>
    </row>
    <row r="2227" spans="35:37">
      <c r="AI2227" s="468">
        <v>44599</v>
      </c>
      <c r="AJ2227" s="5" t="s">
        <v>3579</v>
      </c>
      <c r="AK2227" s="5" t="s">
        <v>3627</v>
      </c>
    </row>
    <row r="2228" spans="35:37">
      <c r="AI2228" s="468">
        <v>44600</v>
      </c>
      <c r="AJ2228" s="5" t="s">
        <v>3624</v>
      </c>
      <c r="AK2228" s="5" t="s">
        <v>3618</v>
      </c>
    </row>
    <row r="2229" spans="35:37">
      <c r="AI2229" s="468">
        <v>44601</v>
      </c>
      <c r="AJ2229" s="5" t="s">
        <v>3626</v>
      </c>
      <c r="AK2229" s="5" t="s">
        <v>3620</v>
      </c>
    </row>
    <row r="2230" spans="35:37">
      <c r="AI2230" s="468">
        <v>44602</v>
      </c>
      <c r="AJ2230" s="5" t="s">
        <v>3628</v>
      </c>
      <c r="AK2230" s="5" t="s">
        <v>3622</v>
      </c>
    </row>
    <row r="2231" spans="35:37">
      <c r="AI2231" s="468">
        <v>44603</v>
      </c>
      <c r="AJ2231" s="5" t="s">
        <v>3617</v>
      </c>
      <c r="AK2231" s="5" t="s">
        <v>3623</v>
      </c>
    </row>
    <row r="2232" spans="35:37">
      <c r="AI2232" s="468">
        <v>44604</v>
      </c>
      <c r="AJ2232" s="5" t="s">
        <v>3619</v>
      </c>
      <c r="AK2232" s="5" t="s">
        <v>3625</v>
      </c>
    </row>
    <row r="2233" spans="35:37">
      <c r="AI2233" s="468">
        <v>44605</v>
      </c>
      <c r="AJ2233" s="5" t="s">
        <v>3621</v>
      </c>
      <c r="AK2233" s="5" t="s">
        <v>3627</v>
      </c>
    </row>
    <row r="2234" spans="35:37">
      <c r="AI2234" s="468">
        <v>44606</v>
      </c>
      <c r="AJ2234" s="5" t="s">
        <v>3579</v>
      </c>
      <c r="AK2234" s="5" t="s">
        <v>3618</v>
      </c>
    </row>
    <row r="2235" spans="35:37">
      <c r="AI2235" s="468">
        <v>44607</v>
      </c>
      <c r="AJ2235" s="5" t="s">
        <v>3624</v>
      </c>
      <c r="AK2235" s="5" t="s">
        <v>3620</v>
      </c>
    </row>
    <row r="2236" spans="35:37">
      <c r="AI2236" s="468">
        <v>44608</v>
      </c>
      <c r="AJ2236" s="5" t="s">
        <v>3626</v>
      </c>
      <c r="AK2236" s="5" t="s">
        <v>3622</v>
      </c>
    </row>
    <row r="2237" spans="35:37">
      <c r="AI2237" s="468">
        <v>44609</v>
      </c>
      <c r="AJ2237" s="5" t="s">
        <v>3628</v>
      </c>
      <c r="AK2237" s="5" t="s">
        <v>3623</v>
      </c>
    </row>
    <row r="2238" spans="35:37">
      <c r="AI2238" s="468">
        <v>44610</v>
      </c>
      <c r="AJ2238" s="5" t="s">
        <v>3617</v>
      </c>
      <c r="AK2238" s="5" t="s">
        <v>3625</v>
      </c>
    </row>
    <row r="2239" spans="35:37">
      <c r="AI2239" s="468">
        <v>44611</v>
      </c>
      <c r="AJ2239" s="5" t="s">
        <v>3619</v>
      </c>
      <c r="AK2239" s="5" t="s">
        <v>3627</v>
      </c>
    </row>
    <row r="2240" spans="35:37">
      <c r="AI2240" s="468">
        <v>44612</v>
      </c>
      <c r="AJ2240" s="5" t="s">
        <v>3621</v>
      </c>
      <c r="AK2240" s="5" t="s">
        <v>3618</v>
      </c>
    </row>
    <row r="2241" spans="35:37">
      <c r="AI2241" s="468">
        <v>44613</v>
      </c>
      <c r="AJ2241" s="5" t="s">
        <v>3579</v>
      </c>
      <c r="AK2241" s="5" t="s">
        <v>3620</v>
      </c>
    </row>
    <row r="2242" spans="35:37">
      <c r="AI2242" s="468">
        <v>44614</v>
      </c>
      <c r="AJ2242" s="5" t="s">
        <v>3624</v>
      </c>
      <c r="AK2242" s="5" t="s">
        <v>3622</v>
      </c>
    </row>
    <row r="2243" spans="35:37">
      <c r="AI2243" s="468">
        <v>44615</v>
      </c>
      <c r="AJ2243" s="5" t="s">
        <v>3626</v>
      </c>
      <c r="AK2243" s="5" t="s">
        <v>3623</v>
      </c>
    </row>
    <row r="2244" spans="35:37">
      <c r="AI2244" s="468">
        <v>44616</v>
      </c>
      <c r="AJ2244" s="5" t="s">
        <v>3628</v>
      </c>
      <c r="AK2244" s="5" t="s">
        <v>3625</v>
      </c>
    </row>
    <row r="2245" spans="35:37">
      <c r="AI2245" s="468">
        <v>44617</v>
      </c>
      <c r="AJ2245" s="5" t="s">
        <v>3617</v>
      </c>
      <c r="AK2245" s="5" t="s">
        <v>3627</v>
      </c>
    </row>
    <row r="2246" spans="35:37">
      <c r="AI2246" s="468">
        <v>44618</v>
      </c>
      <c r="AJ2246" s="5" t="s">
        <v>3619</v>
      </c>
      <c r="AK2246" s="5" t="s">
        <v>3618</v>
      </c>
    </row>
    <row r="2247" spans="35:37">
      <c r="AI2247" s="468">
        <v>44619</v>
      </c>
      <c r="AJ2247" s="5" t="s">
        <v>3621</v>
      </c>
      <c r="AK2247" s="5" t="s">
        <v>3620</v>
      </c>
    </row>
    <row r="2248" spans="35:37">
      <c r="AI2248" s="468">
        <v>44620</v>
      </c>
      <c r="AJ2248" s="5" t="s">
        <v>3579</v>
      </c>
      <c r="AK2248" s="5" t="s">
        <v>3622</v>
      </c>
    </row>
    <row r="2249" spans="35:37">
      <c r="AI2249" s="468">
        <v>44621</v>
      </c>
      <c r="AJ2249" s="5" t="s">
        <v>3624</v>
      </c>
      <c r="AK2249" s="5" t="s">
        <v>3623</v>
      </c>
    </row>
    <row r="2250" spans="35:37">
      <c r="AI2250" s="468">
        <v>44622</v>
      </c>
      <c r="AJ2250" s="5" t="s">
        <v>3626</v>
      </c>
      <c r="AK2250" s="5" t="s">
        <v>3625</v>
      </c>
    </row>
    <row r="2251" spans="35:37">
      <c r="AI2251" s="468">
        <v>44623</v>
      </c>
      <c r="AJ2251" s="5" t="s">
        <v>3628</v>
      </c>
      <c r="AK2251" s="5" t="s">
        <v>3618</v>
      </c>
    </row>
    <row r="2252" spans="35:37">
      <c r="AI2252" s="468">
        <v>44624</v>
      </c>
      <c r="AJ2252" s="5" t="s">
        <v>3617</v>
      </c>
      <c r="AK2252" s="5" t="s">
        <v>3620</v>
      </c>
    </row>
    <row r="2253" spans="35:37">
      <c r="AI2253" s="468">
        <v>44625</v>
      </c>
      <c r="AJ2253" s="5" t="s">
        <v>3619</v>
      </c>
      <c r="AK2253" s="5" t="s">
        <v>3622</v>
      </c>
    </row>
    <row r="2254" spans="35:37">
      <c r="AI2254" s="468">
        <v>44626</v>
      </c>
      <c r="AJ2254" s="5" t="s">
        <v>3621</v>
      </c>
      <c r="AK2254" s="5" t="s">
        <v>3623</v>
      </c>
    </row>
    <row r="2255" spans="35:37">
      <c r="AI2255" s="468">
        <v>44627</v>
      </c>
      <c r="AJ2255" s="5" t="s">
        <v>3579</v>
      </c>
      <c r="AK2255" s="5" t="s">
        <v>3625</v>
      </c>
    </row>
    <row r="2256" spans="35:37">
      <c r="AI2256" s="468">
        <v>44628</v>
      </c>
      <c r="AJ2256" s="5" t="s">
        <v>3624</v>
      </c>
      <c r="AK2256" s="5" t="s">
        <v>3627</v>
      </c>
    </row>
    <row r="2257" spans="35:37">
      <c r="AI2257" s="468">
        <v>44629</v>
      </c>
      <c r="AJ2257" s="5" t="s">
        <v>3626</v>
      </c>
      <c r="AK2257" s="5" t="s">
        <v>3618</v>
      </c>
    </row>
    <row r="2258" spans="35:37">
      <c r="AI2258" s="468">
        <v>44630</v>
      </c>
      <c r="AJ2258" s="5" t="s">
        <v>3628</v>
      </c>
      <c r="AK2258" s="5" t="s">
        <v>3620</v>
      </c>
    </row>
    <row r="2259" spans="35:37">
      <c r="AI2259" s="468">
        <v>44631</v>
      </c>
      <c r="AJ2259" s="5" t="s">
        <v>3617</v>
      </c>
      <c r="AK2259" s="5" t="s">
        <v>3622</v>
      </c>
    </row>
    <row r="2260" spans="35:37">
      <c r="AI2260" s="468">
        <v>44632</v>
      </c>
      <c r="AJ2260" s="5" t="s">
        <v>3619</v>
      </c>
      <c r="AK2260" s="5" t="s">
        <v>3623</v>
      </c>
    </row>
    <row r="2261" spans="35:37">
      <c r="AI2261" s="468">
        <v>44633</v>
      </c>
      <c r="AJ2261" s="5" t="s">
        <v>3621</v>
      </c>
      <c r="AK2261" s="5" t="s">
        <v>3625</v>
      </c>
    </row>
    <row r="2262" spans="35:37">
      <c r="AI2262" s="468">
        <v>44634</v>
      </c>
      <c r="AJ2262" s="5" t="s">
        <v>3579</v>
      </c>
      <c r="AK2262" s="5" t="s">
        <v>3627</v>
      </c>
    </row>
    <row r="2263" spans="35:37">
      <c r="AI2263" s="468">
        <v>44635</v>
      </c>
      <c r="AJ2263" s="5" t="s">
        <v>3624</v>
      </c>
      <c r="AK2263" s="5" t="s">
        <v>3618</v>
      </c>
    </row>
    <row r="2264" spans="35:37">
      <c r="AI2264" s="468">
        <v>44636</v>
      </c>
      <c r="AJ2264" s="5" t="s">
        <v>3626</v>
      </c>
      <c r="AK2264" s="5" t="s">
        <v>3620</v>
      </c>
    </row>
    <row r="2265" spans="35:37">
      <c r="AI2265" s="468">
        <v>44637</v>
      </c>
      <c r="AJ2265" s="5" t="s">
        <v>3628</v>
      </c>
      <c r="AK2265" s="5" t="s">
        <v>3622</v>
      </c>
    </row>
    <row r="2266" spans="35:37">
      <c r="AI2266" s="468">
        <v>44638</v>
      </c>
      <c r="AJ2266" s="5" t="s">
        <v>3617</v>
      </c>
      <c r="AK2266" s="5" t="s">
        <v>3623</v>
      </c>
    </row>
    <row r="2267" spans="35:37">
      <c r="AI2267" s="468">
        <v>44639</v>
      </c>
      <c r="AJ2267" s="5" t="s">
        <v>3619</v>
      </c>
      <c r="AK2267" s="5" t="s">
        <v>3625</v>
      </c>
    </row>
    <row r="2268" spans="35:37">
      <c r="AI2268" s="468">
        <v>44640</v>
      </c>
      <c r="AJ2268" s="5" t="s">
        <v>3621</v>
      </c>
      <c r="AK2268" s="5" t="s">
        <v>3627</v>
      </c>
    </row>
    <row r="2269" spans="35:37">
      <c r="AI2269" s="468">
        <v>44641</v>
      </c>
      <c r="AJ2269" s="5" t="s">
        <v>3579</v>
      </c>
      <c r="AK2269" s="5" t="s">
        <v>3618</v>
      </c>
    </row>
    <row r="2270" spans="35:37">
      <c r="AI2270" s="468">
        <v>44642</v>
      </c>
      <c r="AJ2270" s="5" t="s">
        <v>3624</v>
      </c>
      <c r="AK2270" s="5" t="s">
        <v>3620</v>
      </c>
    </row>
    <row r="2271" spans="35:37">
      <c r="AI2271" s="468">
        <v>44643</v>
      </c>
      <c r="AJ2271" s="5" t="s">
        <v>3626</v>
      </c>
      <c r="AK2271" s="5" t="s">
        <v>3622</v>
      </c>
    </row>
    <row r="2272" spans="35:37">
      <c r="AI2272" s="468">
        <v>44644</v>
      </c>
      <c r="AJ2272" s="5" t="s">
        <v>3628</v>
      </c>
      <c r="AK2272" s="5" t="s">
        <v>3623</v>
      </c>
    </row>
    <row r="2273" spans="35:37">
      <c r="AI2273" s="468">
        <v>44645</v>
      </c>
      <c r="AJ2273" s="5" t="s">
        <v>3617</v>
      </c>
      <c r="AK2273" s="5" t="s">
        <v>3625</v>
      </c>
    </row>
    <row r="2274" spans="35:37">
      <c r="AI2274" s="468">
        <v>44646</v>
      </c>
      <c r="AJ2274" s="5" t="s">
        <v>3619</v>
      </c>
      <c r="AK2274" s="5" t="s">
        <v>3627</v>
      </c>
    </row>
    <row r="2275" spans="35:37">
      <c r="AI2275" s="468">
        <v>44647</v>
      </c>
      <c r="AJ2275" s="5" t="s">
        <v>3621</v>
      </c>
      <c r="AK2275" s="5" t="s">
        <v>3618</v>
      </c>
    </row>
    <row r="2276" spans="35:37">
      <c r="AI2276" s="468">
        <v>44648</v>
      </c>
      <c r="AJ2276" s="5" t="s">
        <v>3579</v>
      </c>
      <c r="AK2276" s="5" t="s">
        <v>3620</v>
      </c>
    </row>
    <row r="2277" spans="35:37">
      <c r="AI2277" s="468">
        <v>44649</v>
      </c>
      <c r="AJ2277" s="5" t="s">
        <v>3624</v>
      </c>
      <c r="AK2277" s="5" t="s">
        <v>3622</v>
      </c>
    </row>
    <row r="2278" spans="35:37">
      <c r="AI2278" s="468">
        <v>44650</v>
      </c>
      <c r="AJ2278" s="5" t="s">
        <v>3626</v>
      </c>
      <c r="AK2278" s="5" t="s">
        <v>3623</v>
      </c>
    </row>
    <row r="2279" spans="35:37">
      <c r="AI2279" s="468">
        <v>44651</v>
      </c>
      <c r="AJ2279" s="5" t="s">
        <v>3628</v>
      </c>
      <c r="AK2279" s="5" t="s">
        <v>3625</v>
      </c>
    </row>
    <row r="2280" spans="35:37">
      <c r="AI2280" s="468">
        <v>44652</v>
      </c>
      <c r="AJ2280" s="5" t="s">
        <v>3617</v>
      </c>
      <c r="AK2280" s="5" t="s">
        <v>3620</v>
      </c>
    </row>
    <row r="2281" spans="35:37">
      <c r="AI2281" s="468">
        <v>44653</v>
      </c>
      <c r="AJ2281" s="5" t="s">
        <v>3619</v>
      </c>
      <c r="AK2281" s="5" t="s">
        <v>3622</v>
      </c>
    </row>
    <row r="2282" spans="35:37">
      <c r="AI2282" s="468">
        <v>44654</v>
      </c>
      <c r="AJ2282" s="5" t="s">
        <v>3621</v>
      </c>
      <c r="AK2282" s="5" t="s">
        <v>3623</v>
      </c>
    </row>
    <row r="2283" spans="35:37">
      <c r="AI2283" s="468">
        <v>44655</v>
      </c>
      <c r="AJ2283" s="5" t="s">
        <v>3579</v>
      </c>
      <c r="AK2283" s="5" t="s">
        <v>3625</v>
      </c>
    </row>
    <row r="2284" spans="35:37">
      <c r="AI2284" s="468">
        <v>44656</v>
      </c>
      <c r="AJ2284" s="5" t="s">
        <v>3624</v>
      </c>
      <c r="AK2284" s="5" t="s">
        <v>3627</v>
      </c>
    </row>
    <row r="2285" spans="35:37">
      <c r="AI2285" s="468">
        <v>44657</v>
      </c>
      <c r="AJ2285" s="5" t="s">
        <v>3626</v>
      </c>
      <c r="AK2285" s="5" t="s">
        <v>3618</v>
      </c>
    </row>
    <row r="2286" spans="35:37">
      <c r="AI2286" s="468">
        <v>44658</v>
      </c>
      <c r="AJ2286" s="5" t="s">
        <v>3628</v>
      </c>
      <c r="AK2286" s="5" t="s">
        <v>3620</v>
      </c>
    </row>
    <row r="2287" spans="35:37">
      <c r="AI2287" s="468">
        <v>44659</v>
      </c>
      <c r="AJ2287" s="5" t="s">
        <v>3617</v>
      </c>
      <c r="AK2287" s="5" t="s">
        <v>3622</v>
      </c>
    </row>
    <row r="2288" spans="35:37">
      <c r="AI2288" s="468">
        <v>44660</v>
      </c>
      <c r="AJ2288" s="5" t="s">
        <v>3619</v>
      </c>
      <c r="AK2288" s="5" t="s">
        <v>3623</v>
      </c>
    </row>
    <row r="2289" spans="35:37">
      <c r="AI2289" s="468">
        <v>44661</v>
      </c>
      <c r="AJ2289" s="5" t="s">
        <v>3621</v>
      </c>
      <c r="AK2289" s="5" t="s">
        <v>3625</v>
      </c>
    </row>
    <row r="2290" spans="35:37">
      <c r="AI2290" s="468">
        <v>44662</v>
      </c>
      <c r="AJ2290" s="5" t="s">
        <v>3579</v>
      </c>
      <c r="AK2290" s="5" t="s">
        <v>3627</v>
      </c>
    </row>
    <row r="2291" spans="35:37">
      <c r="AI2291" s="468">
        <v>44663</v>
      </c>
      <c r="AJ2291" s="5" t="s">
        <v>3624</v>
      </c>
      <c r="AK2291" s="5" t="s">
        <v>3618</v>
      </c>
    </row>
    <row r="2292" spans="35:37">
      <c r="AI2292" s="468">
        <v>44664</v>
      </c>
      <c r="AJ2292" s="5" t="s">
        <v>3626</v>
      </c>
      <c r="AK2292" s="5" t="s">
        <v>3620</v>
      </c>
    </row>
    <row r="2293" spans="35:37">
      <c r="AI2293" s="468">
        <v>44665</v>
      </c>
      <c r="AJ2293" s="5" t="s">
        <v>3628</v>
      </c>
      <c r="AK2293" s="5" t="s">
        <v>3622</v>
      </c>
    </row>
    <row r="2294" spans="35:37">
      <c r="AI2294" s="468">
        <v>44666</v>
      </c>
      <c r="AJ2294" s="5" t="s">
        <v>3617</v>
      </c>
      <c r="AK2294" s="5" t="s">
        <v>3623</v>
      </c>
    </row>
    <row r="2295" spans="35:37">
      <c r="AI2295" s="468">
        <v>44667</v>
      </c>
      <c r="AJ2295" s="5" t="s">
        <v>3619</v>
      </c>
      <c r="AK2295" s="5" t="s">
        <v>3625</v>
      </c>
    </row>
    <row r="2296" spans="35:37">
      <c r="AI2296" s="468">
        <v>44668</v>
      </c>
      <c r="AJ2296" s="5" t="s">
        <v>3621</v>
      </c>
      <c r="AK2296" s="5" t="s">
        <v>3627</v>
      </c>
    </row>
    <row r="2297" spans="35:37">
      <c r="AI2297" s="468">
        <v>44669</v>
      </c>
      <c r="AJ2297" s="5" t="s">
        <v>3579</v>
      </c>
      <c r="AK2297" s="5" t="s">
        <v>3618</v>
      </c>
    </row>
    <row r="2298" spans="35:37">
      <c r="AI2298" s="468">
        <v>44670</v>
      </c>
      <c r="AJ2298" s="5" t="s">
        <v>3624</v>
      </c>
      <c r="AK2298" s="5" t="s">
        <v>3620</v>
      </c>
    </row>
    <row r="2299" spans="35:37">
      <c r="AI2299" s="468">
        <v>44671</v>
      </c>
      <c r="AJ2299" s="5" t="s">
        <v>3626</v>
      </c>
      <c r="AK2299" s="5" t="s">
        <v>3622</v>
      </c>
    </row>
    <row r="2300" spans="35:37">
      <c r="AI2300" s="468">
        <v>44672</v>
      </c>
      <c r="AJ2300" s="5" t="s">
        <v>3628</v>
      </c>
      <c r="AK2300" s="5" t="s">
        <v>3623</v>
      </c>
    </row>
    <row r="2301" spans="35:37">
      <c r="AI2301" s="468">
        <v>44673</v>
      </c>
      <c r="AJ2301" s="5" t="s">
        <v>3617</v>
      </c>
      <c r="AK2301" s="5" t="s">
        <v>3625</v>
      </c>
    </row>
    <row r="2302" spans="35:37">
      <c r="AI2302" s="468">
        <v>44674</v>
      </c>
      <c r="AJ2302" s="5" t="s">
        <v>3619</v>
      </c>
      <c r="AK2302" s="5" t="s">
        <v>3627</v>
      </c>
    </row>
    <row r="2303" spans="35:37">
      <c r="AI2303" s="468">
        <v>44675</v>
      </c>
      <c r="AJ2303" s="5" t="s">
        <v>3621</v>
      </c>
      <c r="AK2303" s="5" t="s">
        <v>3618</v>
      </c>
    </row>
    <row r="2304" spans="35:37">
      <c r="AI2304" s="468">
        <v>44676</v>
      </c>
      <c r="AJ2304" s="5" t="s">
        <v>3579</v>
      </c>
      <c r="AK2304" s="5" t="s">
        <v>3620</v>
      </c>
    </row>
    <row r="2305" spans="35:37">
      <c r="AI2305" s="468">
        <v>44677</v>
      </c>
      <c r="AJ2305" s="5" t="s">
        <v>3624</v>
      </c>
      <c r="AK2305" s="5" t="s">
        <v>3622</v>
      </c>
    </row>
    <row r="2306" spans="35:37">
      <c r="AI2306" s="468">
        <v>44678</v>
      </c>
      <c r="AJ2306" s="5" t="s">
        <v>3626</v>
      </c>
      <c r="AK2306" s="5" t="s">
        <v>3623</v>
      </c>
    </row>
    <row r="2307" spans="35:37">
      <c r="AI2307" s="468">
        <v>44679</v>
      </c>
      <c r="AJ2307" s="5" t="s">
        <v>3628</v>
      </c>
      <c r="AK2307" s="5" t="s">
        <v>3625</v>
      </c>
    </row>
    <row r="2308" spans="35:37">
      <c r="AI2308" s="468">
        <v>44680</v>
      </c>
      <c r="AJ2308" s="5" t="s">
        <v>3617</v>
      </c>
      <c r="AK2308" s="5" t="s">
        <v>3627</v>
      </c>
    </row>
    <row r="2309" spans="35:37">
      <c r="AI2309" s="468">
        <v>44681</v>
      </c>
      <c r="AJ2309" s="5" t="s">
        <v>3619</v>
      </c>
      <c r="AK2309" s="5" t="s">
        <v>3618</v>
      </c>
    </row>
    <row r="2310" spans="35:37">
      <c r="AI2310" s="468">
        <v>44682</v>
      </c>
      <c r="AJ2310" s="5" t="s">
        <v>3621</v>
      </c>
      <c r="AK2310" s="5" t="s">
        <v>3622</v>
      </c>
    </row>
    <row r="2311" spans="35:37">
      <c r="AI2311" s="468">
        <v>44683</v>
      </c>
      <c r="AJ2311" s="5" t="s">
        <v>3579</v>
      </c>
      <c r="AK2311" s="5" t="s">
        <v>3623</v>
      </c>
    </row>
    <row r="2312" spans="35:37">
      <c r="AI2312" s="468">
        <v>44684</v>
      </c>
      <c r="AJ2312" s="5" t="s">
        <v>3624</v>
      </c>
      <c r="AK2312" s="5" t="s">
        <v>3625</v>
      </c>
    </row>
    <row r="2313" spans="35:37">
      <c r="AI2313" s="468">
        <v>44685</v>
      </c>
      <c r="AJ2313" s="5" t="s">
        <v>3626</v>
      </c>
      <c r="AK2313" s="5" t="s">
        <v>3627</v>
      </c>
    </row>
    <row r="2314" spans="35:37">
      <c r="AI2314" s="468">
        <v>44686</v>
      </c>
      <c r="AJ2314" s="5" t="s">
        <v>3628</v>
      </c>
      <c r="AK2314" s="5" t="s">
        <v>3618</v>
      </c>
    </row>
    <row r="2315" spans="35:37">
      <c r="AI2315" s="468">
        <v>44687</v>
      </c>
      <c r="AJ2315" s="5" t="s">
        <v>3617</v>
      </c>
      <c r="AK2315" s="5" t="s">
        <v>3620</v>
      </c>
    </row>
    <row r="2316" spans="35:37">
      <c r="AI2316" s="468">
        <v>44688</v>
      </c>
      <c r="AJ2316" s="5" t="s">
        <v>3619</v>
      </c>
      <c r="AK2316" s="5" t="s">
        <v>3622</v>
      </c>
    </row>
    <row r="2317" spans="35:37">
      <c r="AI2317" s="468">
        <v>44689</v>
      </c>
      <c r="AJ2317" s="5" t="s">
        <v>3621</v>
      </c>
      <c r="AK2317" s="5" t="s">
        <v>3623</v>
      </c>
    </row>
    <row r="2318" spans="35:37">
      <c r="AI2318" s="468">
        <v>44690</v>
      </c>
      <c r="AJ2318" s="5" t="s">
        <v>3579</v>
      </c>
      <c r="AK2318" s="5" t="s">
        <v>3625</v>
      </c>
    </row>
    <row r="2319" spans="35:37">
      <c r="AI2319" s="468">
        <v>44691</v>
      </c>
      <c r="AJ2319" s="5" t="s">
        <v>3624</v>
      </c>
      <c r="AK2319" s="5" t="s">
        <v>3627</v>
      </c>
    </row>
    <row r="2320" spans="35:37">
      <c r="AI2320" s="468">
        <v>44692</v>
      </c>
      <c r="AJ2320" s="5" t="s">
        <v>3626</v>
      </c>
      <c r="AK2320" s="5" t="s">
        <v>3618</v>
      </c>
    </row>
    <row r="2321" spans="35:37">
      <c r="AI2321" s="468">
        <v>44693</v>
      </c>
      <c r="AJ2321" s="5" t="s">
        <v>3628</v>
      </c>
      <c r="AK2321" s="5" t="s">
        <v>3620</v>
      </c>
    </row>
    <row r="2322" spans="35:37">
      <c r="AI2322" s="468">
        <v>44694</v>
      </c>
      <c r="AJ2322" s="5" t="s">
        <v>3617</v>
      </c>
      <c r="AK2322" s="5" t="s">
        <v>3622</v>
      </c>
    </row>
    <row r="2323" spans="35:37">
      <c r="AI2323" s="468">
        <v>44695</v>
      </c>
      <c r="AJ2323" s="5" t="s">
        <v>3619</v>
      </c>
      <c r="AK2323" s="5" t="s">
        <v>3623</v>
      </c>
    </row>
    <row r="2324" spans="35:37">
      <c r="AI2324" s="468">
        <v>44696</v>
      </c>
      <c r="AJ2324" s="5" t="s">
        <v>3621</v>
      </c>
      <c r="AK2324" s="5" t="s">
        <v>3625</v>
      </c>
    </row>
    <row r="2325" spans="35:37">
      <c r="AI2325" s="468">
        <v>44697</v>
      </c>
      <c r="AJ2325" s="5" t="s">
        <v>3579</v>
      </c>
      <c r="AK2325" s="5" t="s">
        <v>3627</v>
      </c>
    </row>
    <row r="2326" spans="35:37">
      <c r="AI2326" s="468">
        <v>44698</v>
      </c>
      <c r="AJ2326" s="5" t="s">
        <v>3624</v>
      </c>
      <c r="AK2326" s="5" t="s">
        <v>3618</v>
      </c>
    </row>
    <row r="2327" spans="35:37">
      <c r="AI2327" s="468">
        <v>44699</v>
      </c>
      <c r="AJ2327" s="5" t="s">
        <v>3626</v>
      </c>
      <c r="AK2327" s="5" t="s">
        <v>3620</v>
      </c>
    </row>
    <row r="2328" spans="35:37">
      <c r="AI2328" s="468">
        <v>44700</v>
      </c>
      <c r="AJ2328" s="5" t="s">
        <v>3628</v>
      </c>
      <c r="AK2328" s="5" t="s">
        <v>3622</v>
      </c>
    </row>
    <row r="2329" spans="35:37">
      <c r="AI2329" s="468">
        <v>44701</v>
      </c>
      <c r="AJ2329" s="5" t="s">
        <v>3617</v>
      </c>
      <c r="AK2329" s="5" t="s">
        <v>3623</v>
      </c>
    </row>
    <row r="2330" spans="35:37">
      <c r="AI2330" s="468">
        <v>44702</v>
      </c>
      <c r="AJ2330" s="5" t="s">
        <v>3619</v>
      </c>
      <c r="AK2330" s="5" t="s">
        <v>3625</v>
      </c>
    </row>
    <row r="2331" spans="35:37">
      <c r="AI2331" s="468">
        <v>44703</v>
      </c>
      <c r="AJ2331" s="5" t="s">
        <v>3621</v>
      </c>
      <c r="AK2331" s="5" t="s">
        <v>3627</v>
      </c>
    </row>
    <row r="2332" spans="35:37">
      <c r="AI2332" s="468">
        <v>44704</v>
      </c>
      <c r="AJ2332" s="5" t="s">
        <v>3579</v>
      </c>
      <c r="AK2332" s="5" t="s">
        <v>3618</v>
      </c>
    </row>
    <row r="2333" spans="35:37">
      <c r="AI2333" s="468">
        <v>44705</v>
      </c>
      <c r="AJ2333" s="5" t="s">
        <v>3624</v>
      </c>
      <c r="AK2333" s="5" t="s">
        <v>3620</v>
      </c>
    </row>
    <row r="2334" spans="35:37">
      <c r="AI2334" s="468">
        <v>44706</v>
      </c>
      <c r="AJ2334" s="5" t="s">
        <v>3626</v>
      </c>
      <c r="AK2334" s="5" t="s">
        <v>3622</v>
      </c>
    </row>
    <row r="2335" spans="35:37">
      <c r="AI2335" s="468">
        <v>44707</v>
      </c>
      <c r="AJ2335" s="5" t="s">
        <v>3628</v>
      </c>
      <c r="AK2335" s="5" t="s">
        <v>3623</v>
      </c>
    </row>
    <row r="2336" spans="35:37">
      <c r="AI2336" s="468">
        <v>44708</v>
      </c>
      <c r="AJ2336" s="5" t="s">
        <v>3617</v>
      </c>
      <c r="AK2336" s="5" t="s">
        <v>3625</v>
      </c>
    </row>
    <row r="2337" spans="35:37">
      <c r="AI2337" s="468">
        <v>44709</v>
      </c>
      <c r="AJ2337" s="5" t="s">
        <v>3619</v>
      </c>
      <c r="AK2337" s="5" t="s">
        <v>3627</v>
      </c>
    </row>
    <row r="2338" spans="35:37">
      <c r="AI2338" s="468">
        <v>44710</v>
      </c>
      <c r="AJ2338" s="5" t="s">
        <v>3621</v>
      </c>
      <c r="AK2338" s="5" t="s">
        <v>3618</v>
      </c>
    </row>
    <row r="2339" spans="35:37">
      <c r="AI2339" s="468">
        <v>44711</v>
      </c>
      <c r="AJ2339" s="5" t="s">
        <v>3579</v>
      </c>
      <c r="AK2339" s="5" t="s">
        <v>3623</v>
      </c>
    </row>
    <row r="2340" spans="35:37">
      <c r="AI2340" s="468">
        <v>44712</v>
      </c>
      <c r="AJ2340" s="5" t="s">
        <v>3624</v>
      </c>
      <c r="AK2340" s="5" t="s">
        <v>3625</v>
      </c>
    </row>
    <row r="2341" spans="35:37">
      <c r="AI2341" s="468">
        <v>44713</v>
      </c>
      <c r="AJ2341" s="5" t="s">
        <v>3626</v>
      </c>
      <c r="AK2341" s="5" t="s">
        <v>3627</v>
      </c>
    </row>
    <row r="2342" spans="35:37">
      <c r="AI2342" s="468">
        <v>44714</v>
      </c>
      <c r="AJ2342" s="5" t="s">
        <v>3628</v>
      </c>
      <c r="AK2342" s="5" t="s">
        <v>3618</v>
      </c>
    </row>
    <row r="2343" spans="35:37">
      <c r="AI2343" s="468">
        <v>44715</v>
      </c>
      <c r="AJ2343" s="5" t="s">
        <v>3617</v>
      </c>
      <c r="AK2343" s="5" t="s">
        <v>3620</v>
      </c>
    </row>
    <row r="2344" spans="35:37">
      <c r="AI2344" s="468">
        <v>44716</v>
      </c>
      <c r="AJ2344" s="5" t="s">
        <v>3619</v>
      </c>
      <c r="AK2344" s="5" t="s">
        <v>3622</v>
      </c>
    </row>
    <row r="2345" spans="35:37">
      <c r="AI2345" s="468">
        <v>44717</v>
      </c>
      <c r="AJ2345" s="5" t="s">
        <v>3621</v>
      </c>
      <c r="AK2345" s="5" t="s">
        <v>3623</v>
      </c>
    </row>
    <row r="2346" spans="35:37">
      <c r="AI2346" s="468">
        <v>44718</v>
      </c>
      <c r="AJ2346" s="5" t="s">
        <v>3579</v>
      </c>
      <c r="AK2346" s="5" t="s">
        <v>3625</v>
      </c>
    </row>
    <row r="2347" spans="35:37">
      <c r="AI2347" s="468">
        <v>44719</v>
      </c>
      <c r="AJ2347" s="5" t="s">
        <v>3624</v>
      </c>
      <c r="AK2347" s="5" t="s">
        <v>3627</v>
      </c>
    </row>
    <row r="2348" spans="35:37">
      <c r="AI2348" s="468">
        <v>44720</v>
      </c>
      <c r="AJ2348" s="5" t="s">
        <v>3626</v>
      </c>
      <c r="AK2348" s="5" t="s">
        <v>3618</v>
      </c>
    </row>
    <row r="2349" spans="35:37">
      <c r="AI2349" s="468">
        <v>44721</v>
      </c>
      <c r="AJ2349" s="5" t="s">
        <v>3628</v>
      </c>
      <c r="AK2349" s="5" t="s">
        <v>3620</v>
      </c>
    </row>
    <row r="2350" spans="35:37">
      <c r="AI2350" s="468">
        <v>44722</v>
      </c>
      <c r="AJ2350" s="5" t="s">
        <v>3617</v>
      </c>
      <c r="AK2350" s="5" t="s">
        <v>3622</v>
      </c>
    </row>
    <row r="2351" spans="35:37">
      <c r="AI2351" s="468">
        <v>44723</v>
      </c>
      <c r="AJ2351" s="5" t="s">
        <v>3619</v>
      </c>
      <c r="AK2351" s="5" t="s">
        <v>3623</v>
      </c>
    </row>
    <row r="2352" spans="35:37">
      <c r="AI2352" s="468">
        <v>44724</v>
      </c>
      <c r="AJ2352" s="5" t="s">
        <v>3621</v>
      </c>
      <c r="AK2352" s="5" t="s">
        <v>3625</v>
      </c>
    </row>
    <row r="2353" spans="35:37">
      <c r="AI2353" s="468">
        <v>44725</v>
      </c>
      <c r="AJ2353" s="5" t="s">
        <v>3579</v>
      </c>
      <c r="AK2353" s="5" t="s">
        <v>3627</v>
      </c>
    </row>
    <row r="2354" spans="35:37">
      <c r="AI2354" s="468">
        <v>44726</v>
      </c>
      <c r="AJ2354" s="5" t="s">
        <v>3624</v>
      </c>
      <c r="AK2354" s="5" t="s">
        <v>3618</v>
      </c>
    </row>
    <row r="2355" spans="35:37">
      <c r="AI2355" s="468">
        <v>44727</v>
      </c>
      <c r="AJ2355" s="5" t="s">
        <v>3626</v>
      </c>
      <c r="AK2355" s="5" t="s">
        <v>3620</v>
      </c>
    </row>
    <row r="2356" spans="35:37">
      <c r="AI2356" s="468">
        <v>44728</v>
      </c>
      <c r="AJ2356" s="5" t="s">
        <v>3628</v>
      </c>
      <c r="AK2356" s="5" t="s">
        <v>3622</v>
      </c>
    </row>
    <row r="2357" spans="35:37">
      <c r="AI2357" s="468">
        <v>44729</v>
      </c>
      <c r="AJ2357" s="5" t="s">
        <v>3617</v>
      </c>
      <c r="AK2357" s="5" t="s">
        <v>3623</v>
      </c>
    </row>
    <row r="2358" spans="35:37">
      <c r="AI2358" s="468">
        <v>44730</v>
      </c>
      <c r="AJ2358" s="5" t="s">
        <v>3619</v>
      </c>
      <c r="AK2358" s="5" t="s">
        <v>3625</v>
      </c>
    </row>
    <row r="2359" spans="35:37">
      <c r="AI2359" s="468">
        <v>44731</v>
      </c>
      <c r="AJ2359" s="5" t="s">
        <v>3621</v>
      </c>
      <c r="AK2359" s="5" t="s">
        <v>3627</v>
      </c>
    </row>
    <row r="2360" spans="35:37">
      <c r="AI2360" s="468">
        <v>44732</v>
      </c>
      <c r="AJ2360" s="5" t="s">
        <v>3579</v>
      </c>
      <c r="AK2360" s="5" t="s">
        <v>3618</v>
      </c>
    </row>
    <row r="2361" spans="35:37">
      <c r="AI2361" s="468">
        <v>44733</v>
      </c>
      <c r="AJ2361" s="5" t="s">
        <v>3624</v>
      </c>
      <c r="AK2361" s="5" t="s">
        <v>3620</v>
      </c>
    </row>
    <row r="2362" spans="35:37">
      <c r="AI2362" s="468">
        <v>44734</v>
      </c>
      <c r="AJ2362" s="5" t="s">
        <v>3626</v>
      </c>
      <c r="AK2362" s="5" t="s">
        <v>3622</v>
      </c>
    </row>
    <row r="2363" spans="35:37">
      <c r="AI2363" s="468">
        <v>44735</v>
      </c>
      <c r="AJ2363" s="5" t="s">
        <v>3628</v>
      </c>
      <c r="AK2363" s="5" t="s">
        <v>3623</v>
      </c>
    </row>
    <row r="2364" spans="35:37">
      <c r="AI2364" s="468">
        <v>44736</v>
      </c>
      <c r="AJ2364" s="5" t="s">
        <v>3617</v>
      </c>
      <c r="AK2364" s="5" t="s">
        <v>3625</v>
      </c>
    </row>
    <row r="2365" spans="35:37">
      <c r="AI2365" s="468">
        <v>44737</v>
      </c>
      <c r="AJ2365" s="5" t="s">
        <v>3619</v>
      </c>
      <c r="AK2365" s="5" t="s">
        <v>3627</v>
      </c>
    </row>
    <row r="2366" spans="35:37">
      <c r="AI2366" s="468">
        <v>44738</v>
      </c>
      <c r="AJ2366" s="5" t="s">
        <v>3621</v>
      </c>
      <c r="AK2366" s="5" t="s">
        <v>3618</v>
      </c>
    </row>
    <row r="2367" spans="35:37">
      <c r="AI2367" s="468">
        <v>44739</v>
      </c>
      <c r="AJ2367" s="5" t="s">
        <v>3579</v>
      </c>
      <c r="AK2367" s="5" t="s">
        <v>3620</v>
      </c>
    </row>
    <row r="2368" spans="35:37">
      <c r="AI2368" s="468">
        <v>44740</v>
      </c>
      <c r="AJ2368" s="5" t="s">
        <v>3624</v>
      </c>
      <c r="AK2368" s="5" t="s">
        <v>3622</v>
      </c>
    </row>
    <row r="2369" spans="35:37">
      <c r="AI2369" s="468">
        <v>44741</v>
      </c>
      <c r="AJ2369" s="5" t="s">
        <v>3626</v>
      </c>
      <c r="AK2369" s="5" t="s">
        <v>3625</v>
      </c>
    </row>
    <row r="2370" spans="35:37">
      <c r="AI2370" s="468">
        <v>44742</v>
      </c>
      <c r="AJ2370" s="5" t="s">
        <v>3628</v>
      </c>
      <c r="AK2370" s="5" t="s">
        <v>3627</v>
      </c>
    </row>
    <row r="2371" spans="35:37">
      <c r="AI2371" s="468">
        <v>44743</v>
      </c>
      <c r="AJ2371" s="5" t="s">
        <v>3617</v>
      </c>
      <c r="AK2371" s="5" t="s">
        <v>3618</v>
      </c>
    </row>
    <row r="2372" spans="35:37">
      <c r="AI2372" s="468">
        <v>44744</v>
      </c>
      <c r="AJ2372" s="5" t="s">
        <v>3619</v>
      </c>
      <c r="AK2372" s="5" t="s">
        <v>3620</v>
      </c>
    </row>
    <row r="2373" spans="35:37">
      <c r="AI2373" s="468">
        <v>44745</v>
      </c>
      <c r="AJ2373" s="5" t="s">
        <v>3621</v>
      </c>
      <c r="AK2373" s="5" t="s">
        <v>3622</v>
      </c>
    </row>
    <row r="2374" spans="35:37">
      <c r="AI2374" s="468">
        <v>44746</v>
      </c>
      <c r="AJ2374" s="5" t="s">
        <v>3579</v>
      </c>
      <c r="AK2374" s="5" t="s">
        <v>3623</v>
      </c>
    </row>
    <row r="2375" spans="35:37">
      <c r="AI2375" s="468">
        <v>44747</v>
      </c>
      <c r="AJ2375" s="5" t="s">
        <v>3624</v>
      </c>
      <c r="AK2375" s="5" t="s">
        <v>3625</v>
      </c>
    </row>
    <row r="2376" spans="35:37">
      <c r="AI2376" s="468">
        <v>44748</v>
      </c>
      <c r="AJ2376" s="5" t="s">
        <v>3626</v>
      </c>
      <c r="AK2376" s="5" t="s">
        <v>3627</v>
      </c>
    </row>
    <row r="2377" spans="35:37">
      <c r="AI2377" s="468">
        <v>44749</v>
      </c>
      <c r="AJ2377" s="5" t="s">
        <v>3628</v>
      </c>
      <c r="AK2377" s="5" t="s">
        <v>3618</v>
      </c>
    </row>
    <row r="2378" spans="35:37">
      <c r="AI2378" s="468">
        <v>44750</v>
      </c>
      <c r="AJ2378" s="5" t="s">
        <v>3617</v>
      </c>
      <c r="AK2378" s="5" t="s">
        <v>3620</v>
      </c>
    </row>
    <row r="2379" spans="35:37">
      <c r="AI2379" s="468">
        <v>44751</v>
      </c>
      <c r="AJ2379" s="5" t="s">
        <v>3619</v>
      </c>
      <c r="AK2379" s="5" t="s">
        <v>3622</v>
      </c>
    </row>
    <row r="2380" spans="35:37">
      <c r="AI2380" s="468">
        <v>44752</v>
      </c>
      <c r="AJ2380" s="5" t="s">
        <v>3621</v>
      </c>
      <c r="AK2380" s="5" t="s">
        <v>3623</v>
      </c>
    </row>
    <row r="2381" spans="35:37">
      <c r="AI2381" s="468">
        <v>44753</v>
      </c>
      <c r="AJ2381" s="5" t="s">
        <v>3579</v>
      </c>
      <c r="AK2381" s="5" t="s">
        <v>3625</v>
      </c>
    </row>
    <row r="2382" spans="35:37">
      <c r="AI2382" s="468">
        <v>44754</v>
      </c>
      <c r="AJ2382" s="5" t="s">
        <v>3624</v>
      </c>
      <c r="AK2382" s="5" t="s">
        <v>3627</v>
      </c>
    </row>
    <row r="2383" spans="35:37">
      <c r="AI2383" s="468">
        <v>44755</v>
      </c>
      <c r="AJ2383" s="5" t="s">
        <v>3626</v>
      </c>
      <c r="AK2383" s="5" t="s">
        <v>3618</v>
      </c>
    </row>
    <row r="2384" spans="35:37">
      <c r="AI2384" s="468">
        <v>44756</v>
      </c>
      <c r="AJ2384" s="5" t="s">
        <v>3628</v>
      </c>
      <c r="AK2384" s="5" t="s">
        <v>3620</v>
      </c>
    </row>
    <row r="2385" spans="35:37">
      <c r="AI2385" s="468">
        <v>44757</v>
      </c>
      <c r="AJ2385" s="5" t="s">
        <v>3617</v>
      </c>
      <c r="AK2385" s="5" t="s">
        <v>3622</v>
      </c>
    </row>
    <row r="2386" spans="35:37">
      <c r="AI2386" s="468">
        <v>44758</v>
      </c>
      <c r="AJ2386" s="5" t="s">
        <v>3619</v>
      </c>
      <c r="AK2386" s="5" t="s">
        <v>3623</v>
      </c>
    </row>
    <row r="2387" spans="35:37">
      <c r="AI2387" s="468">
        <v>44759</v>
      </c>
      <c r="AJ2387" s="5" t="s">
        <v>3621</v>
      </c>
      <c r="AK2387" s="5" t="s">
        <v>3625</v>
      </c>
    </row>
    <row r="2388" spans="35:37">
      <c r="AI2388" s="468">
        <v>44760</v>
      </c>
      <c r="AJ2388" s="5" t="s">
        <v>3579</v>
      </c>
      <c r="AK2388" s="5" t="s">
        <v>3627</v>
      </c>
    </row>
    <row r="2389" spans="35:37">
      <c r="AI2389" s="468">
        <v>44761</v>
      </c>
      <c r="AJ2389" s="5" t="s">
        <v>3624</v>
      </c>
      <c r="AK2389" s="5" t="s">
        <v>3618</v>
      </c>
    </row>
    <row r="2390" spans="35:37">
      <c r="AI2390" s="468">
        <v>44762</v>
      </c>
      <c r="AJ2390" s="5" t="s">
        <v>3626</v>
      </c>
      <c r="AK2390" s="5" t="s">
        <v>3620</v>
      </c>
    </row>
    <row r="2391" spans="35:37">
      <c r="AI2391" s="468">
        <v>44763</v>
      </c>
      <c r="AJ2391" s="5" t="s">
        <v>3628</v>
      </c>
      <c r="AK2391" s="5" t="s">
        <v>3622</v>
      </c>
    </row>
    <row r="2392" spans="35:37">
      <c r="AI2392" s="468">
        <v>44764</v>
      </c>
      <c r="AJ2392" s="5" t="s">
        <v>3617</v>
      </c>
      <c r="AK2392" s="5" t="s">
        <v>3623</v>
      </c>
    </row>
    <row r="2393" spans="35:37">
      <c r="AI2393" s="468">
        <v>44765</v>
      </c>
      <c r="AJ2393" s="5" t="s">
        <v>3619</v>
      </c>
      <c r="AK2393" s="5" t="s">
        <v>3625</v>
      </c>
    </row>
    <row r="2394" spans="35:37">
      <c r="AI2394" s="468">
        <v>44766</v>
      </c>
      <c r="AJ2394" s="5" t="s">
        <v>3621</v>
      </c>
      <c r="AK2394" s="5" t="s">
        <v>3627</v>
      </c>
    </row>
    <row r="2395" spans="35:37">
      <c r="AI2395" s="468">
        <v>44767</v>
      </c>
      <c r="AJ2395" s="5" t="s">
        <v>3579</v>
      </c>
      <c r="AK2395" s="5" t="s">
        <v>3618</v>
      </c>
    </row>
    <row r="2396" spans="35:37">
      <c r="AI2396" s="468">
        <v>44768</v>
      </c>
      <c r="AJ2396" s="5" t="s">
        <v>3624</v>
      </c>
      <c r="AK2396" s="5" t="s">
        <v>3620</v>
      </c>
    </row>
    <row r="2397" spans="35:37">
      <c r="AI2397" s="468">
        <v>44769</v>
      </c>
      <c r="AJ2397" s="5" t="s">
        <v>3626</v>
      </c>
      <c r="AK2397" s="5" t="s">
        <v>3622</v>
      </c>
    </row>
    <row r="2398" spans="35:37">
      <c r="AI2398" s="468">
        <v>44770</v>
      </c>
      <c r="AJ2398" s="5" t="s">
        <v>3628</v>
      </c>
      <c r="AK2398" s="5" t="s">
        <v>3623</v>
      </c>
    </row>
    <row r="2399" spans="35:37">
      <c r="AI2399" s="468">
        <v>44771</v>
      </c>
      <c r="AJ2399" s="5" t="s">
        <v>3617</v>
      </c>
      <c r="AK2399" s="5" t="s">
        <v>3627</v>
      </c>
    </row>
    <row r="2400" spans="35:37">
      <c r="AI2400" s="468">
        <v>44772</v>
      </c>
      <c r="AJ2400" s="5" t="s">
        <v>3619</v>
      </c>
      <c r="AK2400" s="5" t="s">
        <v>3618</v>
      </c>
    </row>
    <row r="2401" spans="35:37">
      <c r="AI2401" s="468">
        <v>44773</v>
      </c>
      <c r="AJ2401" s="5" t="s">
        <v>3621</v>
      </c>
      <c r="AK2401" s="5" t="s">
        <v>3620</v>
      </c>
    </row>
    <row r="2402" spans="35:37">
      <c r="AI2402" s="468">
        <v>44774</v>
      </c>
      <c r="AJ2402" s="5" t="s">
        <v>3579</v>
      </c>
      <c r="AK2402" s="5" t="s">
        <v>3622</v>
      </c>
    </row>
    <row r="2403" spans="35:37">
      <c r="AI2403" s="468">
        <v>44775</v>
      </c>
      <c r="AJ2403" s="5" t="s">
        <v>3624</v>
      </c>
      <c r="AK2403" s="5" t="s">
        <v>3623</v>
      </c>
    </row>
    <row r="2404" spans="35:37">
      <c r="AI2404" s="468">
        <v>44776</v>
      </c>
      <c r="AJ2404" s="5" t="s">
        <v>3626</v>
      </c>
      <c r="AK2404" s="5" t="s">
        <v>3625</v>
      </c>
    </row>
    <row r="2405" spans="35:37">
      <c r="AI2405" s="468">
        <v>44777</v>
      </c>
      <c r="AJ2405" s="5" t="s">
        <v>3628</v>
      </c>
      <c r="AK2405" s="5" t="s">
        <v>3627</v>
      </c>
    </row>
    <row r="2406" spans="35:37">
      <c r="AI2406" s="468">
        <v>44778</v>
      </c>
      <c r="AJ2406" s="5" t="s">
        <v>3617</v>
      </c>
      <c r="AK2406" s="5" t="s">
        <v>3618</v>
      </c>
    </row>
    <row r="2407" spans="35:37">
      <c r="AI2407" s="468">
        <v>44779</v>
      </c>
      <c r="AJ2407" s="5" t="s">
        <v>3619</v>
      </c>
      <c r="AK2407" s="5" t="s">
        <v>3620</v>
      </c>
    </row>
    <row r="2408" spans="35:37">
      <c r="AI2408" s="468">
        <v>44780</v>
      </c>
      <c r="AJ2408" s="5" t="s">
        <v>3621</v>
      </c>
      <c r="AK2408" s="5" t="s">
        <v>3622</v>
      </c>
    </row>
    <row r="2409" spans="35:37">
      <c r="AI2409" s="468">
        <v>44781</v>
      </c>
      <c r="AJ2409" s="5" t="s">
        <v>3579</v>
      </c>
      <c r="AK2409" s="5" t="s">
        <v>3623</v>
      </c>
    </row>
    <row r="2410" spans="35:37">
      <c r="AI2410" s="468">
        <v>44782</v>
      </c>
      <c r="AJ2410" s="5" t="s">
        <v>3624</v>
      </c>
      <c r="AK2410" s="5" t="s">
        <v>3625</v>
      </c>
    </row>
    <row r="2411" spans="35:37">
      <c r="AI2411" s="468">
        <v>44783</v>
      </c>
      <c r="AJ2411" s="5" t="s">
        <v>3626</v>
      </c>
      <c r="AK2411" s="5" t="s">
        <v>3627</v>
      </c>
    </row>
    <row r="2412" spans="35:37">
      <c r="AI2412" s="468">
        <v>44784</v>
      </c>
      <c r="AJ2412" s="5" t="s">
        <v>3628</v>
      </c>
      <c r="AK2412" s="5" t="s">
        <v>3618</v>
      </c>
    </row>
    <row r="2413" spans="35:37">
      <c r="AI2413" s="468">
        <v>44785</v>
      </c>
      <c r="AJ2413" s="5" t="s">
        <v>3617</v>
      </c>
      <c r="AK2413" s="5" t="s">
        <v>3620</v>
      </c>
    </row>
    <row r="2414" spans="35:37">
      <c r="AI2414" s="468">
        <v>44786</v>
      </c>
      <c r="AJ2414" s="5" t="s">
        <v>3619</v>
      </c>
      <c r="AK2414" s="5" t="s">
        <v>3622</v>
      </c>
    </row>
    <row r="2415" spans="35:37">
      <c r="AI2415" s="468">
        <v>44787</v>
      </c>
      <c r="AJ2415" s="5" t="s">
        <v>3621</v>
      </c>
      <c r="AK2415" s="5" t="s">
        <v>3623</v>
      </c>
    </row>
    <row r="2416" spans="35:37">
      <c r="AI2416" s="468">
        <v>44788</v>
      </c>
      <c r="AJ2416" s="5" t="s">
        <v>3579</v>
      </c>
      <c r="AK2416" s="5" t="s">
        <v>3625</v>
      </c>
    </row>
    <row r="2417" spans="35:37">
      <c r="AI2417" s="468">
        <v>44789</v>
      </c>
      <c r="AJ2417" s="5" t="s">
        <v>3624</v>
      </c>
      <c r="AK2417" s="5" t="s">
        <v>3627</v>
      </c>
    </row>
    <row r="2418" spans="35:37">
      <c r="AI2418" s="468">
        <v>44790</v>
      </c>
      <c r="AJ2418" s="5" t="s">
        <v>3626</v>
      </c>
      <c r="AK2418" s="5" t="s">
        <v>3618</v>
      </c>
    </row>
    <row r="2419" spans="35:37">
      <c r="AI2419" s="468">
        <v>44791</v>
      </c>
      <c r="AJ2419" s="5" t="s">
        <v>3628</v>
      </c>
      <c r="AK2419" s="5" t="s">
        <v>3620</v>
      </c>
    </row>
    <row r="2420" spans="35:37">
      <c r="AI2420" s="468">
        <v>44792</v>
      </c>
      <c r="AJ2420" s="5" t="s">
        <v>3617</v>
      </c>
      <c r="AK2420" s="5" t="s">
        <v>3622</v>
      </c>
    </row>
    <row r="2421" spans="35:37">
      <c r="AI2421" s="468">
        <v>44793</v>
      </c>
      <c r="AJ2421" s="5" t="s">
        <v>3619</v>
      </c>
      <c r="AK2421" s="5" t="s">
        <v>3623</v>
      </c>
    </row>
    <row r="2422" spans="35:37">
      <c r="AI2422" s="468">
        <v>44794</v>
      </c>
      <c r="AJ2422" s="5" t="s">
        <v>3621</v>
      </c>
      <c r="AK2422" s="5" t="s">
        <v>3625</v>
      </c>
    </row>
    <row r="2423" spans="35:37">
      <c r="AI2423" s="468">
        <v>44795</v>
      </c>
      <c r="AJ2423" s="5" t="s">
        <v>3579</v>
      </c>
      <c r="AK2423" s="5" t="s">
        <v>3627</v>
      </c>
    </row>
    <row r="2424" spans="35:37">
      <c r="AI2424" s="468">
        <v>44796</v>
      </c>
      <c r="AJ2424" s="5" t="s">
        <v>3624</v>
      </c>
      <c r="AK2424" s="5" t="s">
        <v>3618</v>
      </c>
    </row>
    <row r="2425" spans="35:37">
      <c r="AI2425" s="468">
        <v>44797</v>
      </c>
      <c r="AJ2425" s="5" t="s">
        <v>3626</v>
      </c>
      <c r="AK2425" s="5" t="s">
        <v>3620</v>
      </c>
    </row>
    <row r="2426" spans="35:37">
      <c r="AI2426" s="468">
        <v>44798</v>
      </c>
      <c r="AJ2426" s="5" t="s">
        <v>3628</v>
      </c>
      <c r="AK2426" s="5" t="s">
        <v>3622</v>
      </c>
    </row>
    <row r="2427" spans="35:37">
      <c r="AI2427" s="468">
        <v>44799</v>
      </c>
      <c r="AJ2427" s="5" t="s">
        <v>3617</v>
      </c>
      <c r="AK2427" s="5" t="s">
        <v>3623</v>
      </c>
    </row>
    <row r="2428" spans="35:37">
      <c r="AI2428" s="468">
        <v>44800</v>
      </c>
      <c r="AJ2428" s="5" t="s">
        <v>3619</v>
      </c>
      <c r="AK2428" s="5" t="s">
        <v>3618</v>
      </c>
    </row>
    <row r="2429" spans="35:37">
      <c r="AI2429" s="468">
        <v>44801</v>
      </c>
      <c r="AJ2429" s="5" t="s">
        <v>3621</v>
      </c>
      <c r="AK2429" s="5" t="s">
        <v>3620</v>
      </c>
    </row>
    <row r="2430" spans="35:37">
      <c r="AI2430" s="468">
        <v>44802</v>
      </c>
      <c r="AJ2430" s="5" t="s">
        <v>3579</v>
      </c>
      <c r="AK2430" s="5" t="s">
        <v>3622</v>
      </c>
    </row>
    <row r="2431" spans="35:37">
      <c r="AI2431" s="468">
        <v>44803</v>
      </c>
      <c r="AJ2431" s="5" t="s">
        <v>3624</v>
      </c>
      <c r="AK2431" s="5" t="s">
        <v>3623</v>
      </c>
    </row>
    <row r="2432" spans="35:37">
      <c r="AI2432" s="468">
        <v>44804</v>
      </c>
      <c r="AJ2432" s="5" t="s">
        <v>3626</v>
      </c>
      <c r="AK2432" s="5" t="s">
        <v>3625</v>
      </c>
    </row>
    <row r="2433" spans="35:37">
      <c r="AI2433" s="468">
        <v>44805</v>
      </c>
      <c r="AJ2433" s="5" t="s">
        <v>3628</v>
      </c>
      <c r="AK2433" s="5" t="s">
        <v>3627</v>
      </c>
    </row>
    <row r="2434" spans="35:37">
      <c r="AI2434" s="468">
        <v>44806</v>
      </c>
      <c r="AJ2434" s="5" t="s">
        <v>3617</v>
      </c>
      <c r="AK2434" s="5" t="s">
        <v>3618</v>
      </c>
    </row>
    <row r="2435" spans="35:37">
      <c r="AI2435" s="468">
        <v>44807</v>
      </c>
      <c r="AJ2435" s="5" t="s">
        <v>3619</v>
      </c>
      <c r="AK2435" s="5" t="s">
        <v>3620</v>
      </c>
    </row>
    <row r="2436" spans="35:37">
      <c r="AI2436" s="468">
        <v>44808</v>
      </c>
      <c r="AJ2436" s="5" t="s">
        <v>3621</v>
      </c>
      <c r="AK2436" s="5" t="s">
        <v>3622</v>
      </c>
    </row>
    <row r="2437" spans="35:37">
      <c r="AI2437" s="468">
        <v>44809</v>
      </c>
      <c r="AJ2437" s="5" t="s">
        <v>3579</v>
      </c>
      <c r="AK2437" s="5" t="s">
        <v>3623</v>
      </c>
    </row>
    <row r="2438" spans="35:37">
      <c r="AI2438" s="468">
        <v>44810</v>
      </c>
      <c r="AJ2438" s="5" t="s">
        <v>3624</v>
      </c>
      <c r="AK2438" s="5" t="s">
        <v>3625</v>
      </c>
    </row>
    <row r="2439" spans="35:37">
      <c r="AI2439" s="468">
        <v>44811</v>
      </c>
      <c r="AJ2439" s="5" t="s">
        <v>3626</v>
      </c>
      <c r="AK2439" s="5" t="s">
        <v>3627</v>
      </c>
    </row>
    <row r="2440" spans="35:37">
      <c r="AI2440" s="468">
        <v>44812</v>
      </c>
      <c r="AJ2440" s="5" t="s">
        <v>3628</v>
      </c>
      <c r="AK2440" s="5" t="s">
        <v>3618</v>
      </c>
    </row>
    <row r="2441" spans="35:37">
      <c r="AI2441" s="468">
        <v>44813</v>
      </c>
      <c r="AJ2441" s="5" t="s">
        <v>3617</v>
      </c>
      <c r="AK2441" s="5" t="s">
        <v>3620</v>
      </c>
    </row>
    <row r="2442" spans="35:37">
      <c r="AI2442" s="468">
        <v>44814</v>
      </c>
      <c r="AJ2442" s="5" t="s">
        <v>3619</v>
      </c>
      <c r="AK2442" s="5" t="s">
        <v>3622</v>
      </c>
    </row>
    <row r="2443" spans="35:37">
      <c r="AI2443" s="468">
        <v>44815</v>
      </c>
      <c r="AJ2443" s="5" t="s">
        <v>3621</v>
      </c>
      <c r="AK2443" s="5" t="s">
        <v>3623</v>
      </c>
    </row>
    <row r="2444" spans="35:37">
      <c r="AI2444" s="468">
        <v>44816</v>
      </c>
      <c r="AJ2444" s="5" t="s">
        <v>3579</v>
      </c>
      <c r="AK2444" s="5" t="s">
        <v>3625</v>
      </c>
    </row>
    <row r="2445" spans="35:37">
      <c r="AI2445" s="468">
        <v>44817</v>
      </c>
      <c r="AJ2445" s="5" t="s">
        <v>3624</v>
      </c>
      <c r="AK2445" s="5" t="s">
        <v>3627</v>
      </c>
    </row>
    <row r="2446" spans="35:37">
      <c r="AI2446" s="468">
        <v>44818</v>
      </c>
      <c r="AJ2446" s="5" t="s">
        <v>3626</v>
      </c>
      <c r="AK2446" s="5" t="s">
        <v>3618</v>
      </c>
    </row>
    <row r="2447" spans="35:37">
      <c r="AI2447" s="468">
        <v>44819</v>
      </c>
      <c r="AJ2447" s="5" t="s">
        <v>3628</v>
      </c>
      <c r="AK2447" s="5" t="s">
        <v>3620</v>
      </c>
    </row>
    <row r="2448" spans="35:37">
      <c r="AI2448" s="468">
        <v>44820</v>
      </c>
      <c r="AJ2448" s="5" t="s">
        <v>3617</v>
      </c>
      <c r="AK2448" s="5" t="s">
        <v>3622</v>
      </c>
    </row>
    <row r="2449" spans="35:37">
      <c r="AI2449" s="468">
        <v>44821</v>
      </c>
      <c r="AJ2449" s="5" t="s">
        <v>3619</v>
      </c>
      <c r="AK2449" s="5" t="s">
        <v>3623</v>
      </c>
    </row>
    <row r="2450" spans="35:37">
      <c r="AI2450" s="468">
        <v>44822</v>
      </c>
      <c r="AJ2450" s="5" t="s">
        <v>3621</v>
      </c>
      <c r="AK2450" s="5" t="s">
        <v>3625</v>
      </c>
    </row>
    <row r="2451" spans="35:37">
      <c r="AI2451" s="468">
        <v>44823</v>
      </c>
      <c r="AJ2451" s="5" t="s">
        <v>3579</v>
      </c>
      <c r="AK2451" s="5" t="s">
        <v>3627</v>
      </c>
    </row>
    <row r="2452" spans="35:37">
      <c r="AI2452" s="468">
        <v>44824</v>
      </c>
      <c r="AJ2452" s="5" t="s">
        <v>3624</v>
      </c>
      <c r="AK2452" s="5" t="s">
        <v>3618</v>
      </c>
    </row>
    <row r="2453" spans="35:37">
      <c r="AI2453" s="468">
        <v>44825</v>
      </c>
      <c r="AJ2453" s="5" t="s">
        <v>3626</v>
      </c>
      <c r="AK2453" s="5" t="s">
        <v>3620</v>
      </c>
    </row>
    <row r="2454" spans="35:37">
      <c r="AI2454" s="468">
        <v>44826</v>
      </c>
      <c r="AJ2454" s="5" t="s">
        <v>3628</v>
      </c>
      <c r="AK2454" s="5" t="s">
        <v>3622</v>
      </c>
    </row>
    <row r="2455" spans="35:37">
      <c r="AI2455" s="468">
        <v>44827</v>
      </c>
      <c r="AJ2455" s="5" t="s">
        <v>3617</v>
      </c>
      <c r="AK2455" s="5" t="s">
        <v>3623</v>
      </c>
    </row>
    <row r="2456" spans="35:37">
      <c r="AI2456" s="468">
        <v>44828</v>
      </c>
      <c r="AJ2456" s="5" t="s">
        <v>3619</v>
      </c>
      <c r="AK2456" s="5" t="s">
        <v>3625</v>
      </c>
    </row>
    <row r="2457" spans="35:37">
      <c r="AI2457" s="468">
        <v>44829</v>
      </c>
      <c r="AJ2457" s="5" t="s">
        <v>3621</v>
      </c>
      <c r="AK2457" s="5" t="s">
        <v>3627</v>
      </c>
    </row>
    <row r="2458" spans="35:37">
      <c r="AI2458" s="468">
        <v>44830</v>
      </c>
      <c r="AJ2458" s="5" t="s">
        <v>3579</v>
      </c>
      <c r="AK2458" s="5" t="s">
        <v>3620</v>
      </c>
    </row>
    <row r="2459" spans="35:37">
      <c r="AI2459" s="468">
        <v>44831</v>
      </c>
      <c r="AJ2459" s="5" t="s">
        <v>3624</v>
      </c>
      <c r="AK2459" s="5" t="s">
        <v>3622</v>
      </c>
    </row>
    <row r="2460" spans="35:37">
      <c r="AI2460" s="468">
        <v>44832</v>
      </c>
      <c r="AJ2460" s="5" t="s">
        <v>3626</v>
      </c>
      <c r="AK2460" s="5" t="s">
        <v>3623</v>
      </c>
    </row>
    <row r="2461" spans="35:37">
      <c r="AI2461" s="468">
        <v>44833</v>
      </c>
      <c r="AJ2461" s="5" t="s">
        <v>3628</v>
      </c>
      <c r="AK2461" s="5" t="s">
        <v>3625</v>
      </c>
    </row>
    <row r="2462" spans="35:37">
      <c r="AI2462" s="468">
        <v>44834</v>
      </c>
      <c r="AJ2462" s="5" t="s">
        <v>3617</v>
      </c>
      <c r="AK2462" s="5" t="s">
        <v>3627</v>
      </c>
    </row>
    <row r="2463" spans="35:37">
      <c r="AI2463" s="468">
        <v>44835</v>
      </c>
      <c r="AJ2463" s="5" t="s">
        <v>3619</v>
      </c>
      <c r="AK2463" s="5" t="s">
        <v>3618</v>
      </c>
    </row>
    <row r="2464" spans="35:37">
      <c r="AI2464" s="468">
        <v>44836</v>
      </c>
      <c r="AJ2464" s="5" t="s">
        <v>3621</v>
      </c>
      <c r="AK2464" s="5" t="s">
        <v>3620</v>
      </c>
    </row>
    <row r="2465" spans="35:37">
      <c r="AI2465" s="468">
        <v>44837</v>
      </c>
      <c r="AJ2465" s="5" t="s">
        <v>3579</v>
      </c>
      <c r="AK2465" s="5" t="s">
        <v>3622</v>
      </c>
    </row>
    <row r="2466" spans="35:37">
      <c r="AI2466" s="468">
        <v>44838</v>
      </c>
      <c r="AJ2466" s="5" t="s">
        <v>3624</v>
      </c>
      <c r="AK2466" s="5" t="s">
        <v>3623</v>
      </c>
    </row>
    <row r="2467" spans="35:37">
      <c r="AI2467" s="468">
        <v>44839</v>
      </c>
      <c r="AJ2467" s="5" t="s">
        <v>3626</v>
      </c>
      <c r="AK2467" s="5" t="s">
        <v>3625</v>
      </c>
    </row>
    <row r="2468" spans="35:37">
      <c r="AI2468" s="468">
        <v>44840</v>
      </c>
      <c r="AJ2468" s="5" t="s">
        <v>3628</v>
      </c>
      <c r="AK2468" s="5" t="s">
        <v>3627</v>
      </c>
    </row>
    <row r="2469" spans="35:37">
      <c r="AI2469" s="468">
        <v>44841</v>
      </c>
      <c r="AJ2469" s="5" t="s">
        <v>3617</v>
      </c>
      <c r="AK2469" s="5" t="s">
        <v>3618</v>
      </c>
    </row>
    <row r="2470" spans="35:37">
      <c r="AI2470" s="468">
        <v>44842</v>
      </c>
      <c r="AJ2470" s="5" t="s">
        <v>3619</v>
      </c>
      <c r="AK2470" s="5" t="s">
        <v>3620</v>
      </c>
    </row>
    <row r="2471" spans="35:37">
      <c r="AI2471" s="468">
        <v>44843</v>
      </c>
      <c r="AJ2471" s="5" t="s">
        <v>3621</v>
      </c>
      <c r="AK2471" s="5" t="s">
        <v>3622</v>
      </c>
    </row>
    <row r="2472" spans="35:37">
      <c r="AI2472" s="468">
        <v>44844</v>
      </c>
      <c r="AJ2472" s="5" t="s">
        <v>3579</v>
      </c>
      <c r="AK2472" s="5" t="s">
        <v>3623</v>
      </c>
    </row>
    <row r="2473" spans="35:37">
      <c r="AI2473" s="468">
        <v>44845</v>
      </c>
      <c r="AJ2473" s="5" t="s">
        <v>3624</v>
      </c>
      <c r="AK2473" s="5" t="s">
        <v>3625</v>
      </c>
    </row>
    <row r="2474" spans="35:37">
      <c r="AI2474" s="468">
        <v>44846</v>
      </c>
      <c r="AJ2474" s="5" t="s">
        <v>3626</v>
      </c>
      <c r="AK2474" s="5" t="s">
        <v>3627</v>
      </c>
    </row>
    <row r="2475" spans="35:37">
      <c r="AI2475" s="468">
        <v>44847</v>
      </c>
      <c r="AJ2475" s="5" t="s">
        <v>3628</v>
      </c>
      <c r="AK2475" s="5" t="s">
        <v>3618</v>
      </c>
    </row>
    <row r="2476" spans="35:37">
      <c r="AI2476" s="468">
        <v>44848</v>
      </c>
      <c r="AJ2476" s="5" t="s">
        <v>3617</v>
      </c>
      <c r="AK2476" s="5" t="s">
        <v>3620</v>
      </c>
    </row>
    <row r="2477" spans="35:37">
      <c r="AI2477" s="468">
        <v>44849</v>
      </c>
      <c r="AJ2477" s="5" t="s">
        <v>3619</v>
      </c>
      <c r="AK2477" s="5" t="s">
        <v>3622</v>
      </c>
    </row>
    <row r="2478" spans="35:37">
      <c r="AI2478" s="468">
        <v>44850</v>
      </c>
      <c r="AJ2478" s="5" t="s">
        <v>3621</v>
      </c>
      <c r="AK2478" s="5" t="s">
        <v>3623</v>
      </c>
    </row>
    <row r="2479" spans="35:37">
      <c r="AI2479" s="468">
        <v>44851</v>
      </c>
      <c r="AJ2479" s="5" t="s">
        <v>3579</v>
      </c>
      <c r="AK2479" s="5" t="s">
        <v>3625</v>
      </c>
    </row>
    <row r="2480" spans="35:37">
      <c r="AI2480" s="468">
        <v>44852</v>
      </c>
      <c r="AJ2480" s="5" t="s">
        <v>3624</v>
      </c>
      <c r="AK2480" s="5" t="s">
        <v>3627</v>
      </c>
    </row>
    <row r="2481" spans="35:37">
      <c r="AI2481" s="468">
        <v>44853</v>
      </c>
      <c r="AJ2481" s="5" t="s">
        <v>3626</v>
      </c>
      <c r="AK2481" s="5" t="s">
        <v>3618</v>
      </c>
    </row>
    <row r="2482" spans="35:37">
      <c r="AI2482" s="468">
        <v>44854</v>
      </c>
      <c r="AJ2482" s="5" t="s">
        <v>3628</v>
      </c>
      <c r="AK2482" s="5" t="s">
        <v>3620</v>
      </c>
    </row>
    <row r="2483" spans="35:37">
      <c r="AI2483" s="468">
        <v>44855</v>
      </c>
      <c r="AJ2483" s="5" t="s">
        <v>3617</v>
      </c>
      <c r="AK2483" s="5" t="s">
        <v>3622</v>
      </c>
    </row>
    <row r="2484" spans="35:37">
      <c r="AI2484" s="468">
        <v>44856</v>
      </c>
      <c r="AJ2484" s="5" t="s">
        <v>3619</v>
      </c>
      <c r="AK2484" s="5" t="s">
        <v>3623</v>
      </c>
    </row>
    <row r="2485" spans="35:37">
      <c r="AI2485" s="468">
        <v>44857</v>
      </c>
      <c r="AJ2485" s="5" t="s">
        <v>3621</v>
      </c>
      <c r="AK2485" s="5" t="s">
        <v>3625</v>
      </c>
    </row>
    <row r="2486" spans="35:37">
      <c r="AI2486" s="468">
        <v>44858</v>
      </c>
      <c r="AJ2486" s="5" t="s">
        <v>3579</v>
      </c>
      <c r="AK2486" s="5" t="s">
        <v>3627</v>
      </c>
    </row>
    <row r="2487" spans="35:37">
      <c r="AI2487" s="468">
        <v>44859</v>
      </c>
      <c r="AJ2487" s="5" t="s">
        <v>3624</v>
      </c>
      <c r="AK2487" s="5" t="s">
        <v>3622</v>
      </c>
    </row>
    <row r="2488" spans="35:37">
      <c r="AI2488" s="468">
        <v>44860</v>
      </c>
      <c r="AJ2488" s="5" t="s">
        <v>3626</v>
      </c>
      <c r="AK2488" s="5" t="s">
        <v>3623</v>
      </c>
    </row>
    <row r="2489" spans="35:37">
      <c r="AI2489" s="468">
        <v>44861</v>
      </c>
      <c r="AJ2489" s="5" t="s">
        <v>3628</v>
      </c>
      <c r="AK2489" s="5" t="s">
        <v>3625</v>
      </c>
    </row>
    <row r="2490" spans="35:37">
      <c r="AI2490" s="468">
        <v>44862</v>
      </c>
      <c r="AJ2490" s="5" t="s">
        <v>3617</v>
      </c>
      <c r="AK2490" s="5" t="s">
        <v>3627</v>
      </c>
    </row>
    <row r="2491" spans="35:37">
      <c r="AI2491" s="468">
        <v>44863</v>
      </c>
      <c r="AJ2491" s="5" t="s">
        <v>3619</v>
      </c>
      <c r="AK2491" s="5" t="s">
        <v>3618</v>
      </c>
    </row>
    <row r="2492" spans="35:37">
      <c r="AI2492" s="468">
        <v>44864</v>
      </c>
      <c r="AJ2492" s="5" t="s">
        <v>3621</v>
      </c>
      <c r="AK2492" s="5" t="s">
        <v>3620</v>
      </c>
    </row>
    <row r="2493" spans="35:37">
      <c r="AI2493" s="468">
        <v>44865</v>
      </c>
      <c r="AJ2493" s="5" t="s">
        <v>3579</v>
      </c>
      <c r="AK2493" s="5" t="s">
        <v>3622</v>
      </c>
    </row>
    <row r="2494" spans="35:37">
      <c r="AI2494" s="468">
        <v>44866</v>
      </c>
      <c r="AJ2494" s="5" t="s">
        <v>3624</v>
      </c>
      <c r="AK2494" s="5" t="s">
        <v>3623</v>
      </c>
    </row>
    <row r="2495" spans="35:37">
      <c r="AI2495" s="468">
        <v>44867</v>
      </c>
      <c r="AJ2495" s="5" t="s">
        <v>3626</v>
      </c>
      <c r="AK2495" s="5" t="s">
        <v>3625</v>
      </c>
    </row>
    <row r="2496" spans="35:37">
      <c r="AI2496" s="468">
        <v>44868</v>
      </c>
      <c r="AJ2496" s="5" t="s">
        <v>3628</v>
      </c>
      <c r="AK2496" s="5" t="s">
        <v>3627</v>
      </c>
    </row>
    <row r="2497" spans="35:37">
      <c r="AI2497" s="468">
        <v>44869</v>
      </c>
      <c r="AJ2497" s="5" t="s">
        <v>3617</v>
      </c>
      <c r="AK2497" s="5" t="s">
        <v>3618</v>
      </c>
    </row>
    <row r="2498" spans="35:37">
      <c r="AI2498" s="468">
        <v>44870</v>
      </c>
      <c r="AJ2498" s="5" t="s">
        <v>3619</v>
      </c>
      <c r="AK2498" s="5" t="s">
        <v>3620</v>
      </c>
    </row>
    <row r="2499" spans="35:37">
      <c r="AI2499" s="468">
        <v>44871</v>
      </c>
      <c r="AJ2499" s="5" t="s">
        <v>3621</v>
      </c>
      <c r="AK2499" s="5" t="s">
        <v>3622</v>
      </c>
    </row>
    <row r="2500" spans="35:37">
      <c r="AI2500" s="468">
        <v>44872</v>
      </c>
      <c r="AJ2500" s="5" t="s">
        <v>3579</v>
      </c>
      <c r="AK2500" s="5" t="s">
        <v>3623</v>
      </c>
    </row>
    <row r="2501" spans="35:37">
      <c r="AI2501" s="468">
        <v>44873</v>
      </c>
      <c r="AJ2501" s="5" t="s">
        <v>3624</v>
      </c>
      <c r="AK2501" s="5" t="s">
        <v>3625</v>
      </c>
    </row>
    <row r="2502" spans="35:37">
      <c r="AI2502" s="468">
        <v>44874</v>
      </c>
      <c r="AJ2502" s="5" t="s">
        <v>3626</v>
      </c>
      <c r="AK2502" s="5" t="s">
        <v>3627</v>
      </c>
    </row>
    <row r="2503" spans="35:37">
      <c r="AI2503" s="468">
        <v>44875</v>
      </c>
      <c r="AJ2503" s="5" t="s">
        <v>3628</v>
      </c>
      <c r="AK2503" s="5" t="s">
        <v>3618</v>
      </c>
    </row>
    <row r="2504" spans="35:37">
      <c r="AI2504" s="468">
        <v>44876</v>
      </c>
      <c r="AJ2504" s="5" t="s">
        <v>3617</v>
      </c>
      <c r="AK2504" s="5" t="s">
        <v>3620</v>
      </c>
    </row>
    <row r="2505" spans="35:37">
      <c r="AI2505" s="468">
        <v>44877</v>
      </c>
      <c r="AJ2505" s="5" t="s">
        <v>3619</v>
      </c>
      <c r="AK2505" s="5" t="s">
        <v>3622</v>
      </c>
    </row>
    <row r="2506" spans="35:37">
      <c r="AI2506" s="468">
        <v>44878</v>
      </c>
      <c r="AJ2506" s="5" t="s">
        <v>3621</v>
      </c>
      <c r="AK2506" s="5" t="s">
        <v>3623</v>
      </c>
    </row>
    <row r="2507" spans="35:37">
      <c r="AI2507" s="468">
        <v>44879</v>
      </c>
      <c r="AJ2507" s="5" t="s">
        <v>3579</v>
      </c>
      <c r="AK2507" s="5" t="s">
        <v>3625</v>
      </c>
    </row>
    <row r="2508" spans="35:37">
      <c r="AI2508" s="468">
        <v>44880</v>
      </c>
      <c r="AJ2508" s="5" t="s">
        <v>3624</v>
      </c>
      <c r="AK2508" s="5" t="s">
        <v>3627</v>
      </c>
    </row>
    <row r="2509" spans="35:37">
      <c r="AI2509" s="468">
        <v>44881</v>
      </c>
      <c r="AJ2509" s="5" t="s">
        <v>3626</v>
      </c>
      <c r="AK2509" s="5" t="s">
        <v>3618</v>
      </c>
    </row>
    <row r="2510" spans="35:37">
      <c r="AI2510" s="468">
        <v>44882</v>
      </c>
      <c r="AJ2510" s="5" t="s">
        <v>3628</v>
      </c>
      <c r="AK2510" s="5" t="s">
        <v>3620</v>
      </c>
    </row>
    <row r="2511" spans="35:37">
      <c r="AI2511" s="468">
        <v>44883</v>
      </c>
      <c r="AJ2511" s="5" t="s">
        <v>3617</v>
      </c>
      <c r="AK2511" s="5" t="s">
        <v>3622</v>
      </c>
    </row>
    <row r="2512" spans="35:37">
      <c r="AI2512" s="468">
        <v>44884</v>
      </c>
      <c r="AJ2512" s="5" t="s">
        <v>3619</v>
      </c>
      <c r="AK2512" s="5" t="s">
        <v>3623</v>
      </c>
    </row>
    <row r="2513" spans="35:37">
      <c r="AI2513" s="468">
        <v>44885</v>
      </c>
      <c r="AJ2513" s="5" t="s">
        <v>3621</v>
      </c>
      <c r="AK2513" s="5" t="s">
        <v>3625</v>
      </c>
    </row>
    <row r="2514" spans="35:37">
      <c r="AI2514" s="468">
        <v>44886</v>
      </c>
      <c r="AJ2514" s="5" t="s">
        <v>3579</v>
      </c>
      <c r="AK2514" s="5" t="s">
        <v>3627</v>
      </c>
    </row>
    <row r="2515" spans="35:37">
      <c r="AI2515" s="468">
        <v>44887</v>
      </c>
      <c r="AJ2515" s="5" t="s">
        <v>3624</v>
      </c>
      <c r="AK2515" s="5" t="s">
        <v>3618</v>
      </c>
    </row>
    <row r="2516" spans="35:37">
      <c r="AI2516" s="468">
        <v>44888</v>
      </c>
      <c r="AJ2516" s="5" t="s">
        <v>3626</v>
      </c>
      <c r="AK2516" s="5" t="s">
        <v>3620</v>
      </c>
    </row>
    <row r="2517" spans="35:37">
      <c r="AI2517" s="468">
        <v>44889</v>
      </c>
      <c r="AJ2517" s="5" t="s">
        <v>3628</v>
      </c>
      <c r="AK2517" s="5" t="s">
        <v>3623</v>
      </c>
    </row>
    <row r="2518" spans="35:37">
      <c r="AI2518" s="468">
        <v>44890</v>
      </c>
      <c r="AJ2518" s="5" t="s">
        <v>3617</v>
      </c>
      <c r="AK2518" s="5" t="s">
        <v>3625</v>
      </c>
    </row>
    <row r="2519" spans="35:37">
      <c r="AI2519" s="468">
        <v>44891</v>
      </c>
      <c r="AJ2519" s="5" t="s">
        <v>3619</v>
      </c>
      <c r="AK2519" s="5" t="s">
        <v>3627</v>
      </c>
    </row>
    <row r="2520" spans="35:37">
      <c r="AI2520" s="468">
        <v>44892</v>
      </c>
      <c r="AJ2520" s="5" t="s">
        <v>3621</v>
      </c>
      <c r="AK2520" s="5" t="s">
        <v>3618</v>
      </c>
    </row>
    <row r="2521" spans="35:37">
      <c r="AI2521" s="468">
        <v>44893</v>
      </c>
      <c r="AJ2521" s="5" t="s">
        <v>3579</v>
      </c>
      <c r="AK2521" s="5" t="s">
        <v>3620</v>
      </c>
    </row>
    <row r="2522" spans="35:37">
      <c r="AI2522" s="468">
        <v>44894</v>
      </c>
      <c r="AJ2522" s="5" t="s">
        <v>3624</v>
      </c>
      <c r="AK2522" s="5" t="s">
        <v>3622</v>
      </c>
    </row>
    <row r="2523" spans="35:37">
      <c r="AI2523" s="468">
        <v>44895</v>
      </c>
      <c r="AJ2523" s="5" t="s">
        <v>3626</v>
      </c>
      <c r="AK2523" s="5" t="s">
        <v>3623</v>
      </c>
    </row>
    <row r="2524" spans="35:37">
      <c r="AI2524" s="468">
        <v>44896</v>
      </c>
      <c r="AJ2524" s="5" t="s">
        <v>3628</v>
      </c>
      <c r="AK2524" s="5" t="s">
        <v>3625</v>
      </c>
    </row>
    <row r="2525" spans="35:37">
      <c r="AI2525" s="468">
        <v>44897</v>
      </c>
      <c r="AJ2525" s="5" t="s">
        <v>3617</v>
      </c>
      <c r="AK2525" s="5" t="s">
        <v>3627</v>
      </c>
    </row>
    <row r="2526" spans="35:37">
      <c r="AI2526" s="468">
        <v>44898</v>
      </c>
      <c r="AJ2526" s="5" t="s">
        <v>3619</v>
      </c>
      <c r="AK2526" s="5" t="s">
        <v>3618</v>
      </c>
    </row>
    <row r="2527" spans="35:37">
      <c r="AI2527" s="468">
        <v>44899</v>
      </c>
      <c r="AJ2527" s="5" t="s">
        <v>3621</v>
      </c>
      <c r="AK2527" s="5" t="s">
        <v>3620</v>
      </c>
    </row>
    <row r="2528" spans="35:37">
      <c r="AI2528" s="468">
        <v>44900</v>
      </c>
      <c r="AJ2528" s="5" t="s">
        <v>3579</v>
      </c>
      <c r="AK2528" s="5" t="s">
        <v>3622</v>
      </c>
    </row>
    <row r="2529" spans="35:37">
      <c r="AI2529" s="468">
        <v>44901</v>
      </c>
      <c r="AJ2529" s="5" t="s">
        <v>3624</v>
      </c>
      <c r="AK2529" s="5" t="s">
        <v>3623</v>
      </c>
    </row>
    <row r="2530" spans="35:37">
      <c r="AI2530" s="468">
        <v>44902</v>
      </c>
      <c r="AJ2530" s="5" t="s">
        <v>3626</v>
      </c>
      <c r="AK2530" s="5" t="s">
        <v>3625</v>
      </c>
    </row>
    <row r="2531" spans="35:37">
      <c r="AI2531" s="468">
        <v>44903</v>
      </c>
      <c r="AJ2531" s="5" t="s">
        <v>3628</v>
      </c>
      <c r="AK2531" s="5" t="s">
        <v>3627</v>
      </c>
    </row>
    <row r="2532" spans="35:37">
      <c r="AI2532" s="468">
        <v>44904</v>
      </c>
      <c r="AJ2532" s="5" t="s">
        <v>3617</v>
      </c>
      <c r="AK2532" s="5" t="s">
        <v>3618</v>
      </c>
    </row>
    <row r="2533" spans="35:37">
      <c r="AI2533" s="468">
        <v>44905</v>
      </c>
      <c r="AJ2533" s="5" t="s">
        <v>3619</v>
      </c>
      <c r="AK2533" s="5" t="s">
        <v>3620</v>
      </c>
    </row>
    <row r="2534" spans="35:37">
      <c r="AI2534" s="468">
        <v>44906</v>
      </c>
      <c r="AJ2534" s="5" t="s">
        <v>3621</v>
      </c>
      <c r="AK2534" s="5" t="s">
        <v>3622</v>
      </c>
    </row>
    <row r="2535" spans="35:37">
      <c r="AI2535" s="468">
        <v>44907</v>
      </c>
      <c r="AJ2535" s="5" t="s">
        <v>3579</v>
      </c>
      <c r="AK2535" s="5" t="s">
        <v>3623</v>
      </c>
    </row>
    <row r="2536" spans="35:37">
      <c r="AI2536" s="468">
        <v>44908</v>
      </c>
      <c r="AJ2536" s="5" t="s">
        <v>3624</v>
      </c>
      <c r="AK2536" s="5" t="s">
        <v>3625</v>
      </c>
    </row>
    <row r="2537" spans="35:37">
      <c r="AI2537" s="468">
        <v>44909</v>
      </c>
      <c r="AJ2537" s="5" t="s">
        <v>3626</v>
      </c>
      <c r="AK2537" s="5" t="s">
        <v>3627</v>
      </c>
    </row>
    <row r="2538" spans="35:37">
      <c r="AI2538" s="468">
        <v>44910</v>
      </c>
      <c r="AJ2538" s="5" t="s">
        <v>3628</v>
      </c>
      <c r="AK2538" s="5" t="s">
        <v>3618</v>
      </c>
    </row>
    <row r="2539" spans="35:37">
      <c r="AI2539" s="468">
        <v>44911</v>
      </c>
      <c r="AJ2539" s="5" t="s">
        <v>3617</v>
      </c>
      <c r="AK2539" s="5" t="s">
        <v>3620</v>
      </c>
    </row>
    <row r="2540" spans="35:37">
      <c r="AI2540" s="468">
        <v>44912</v>
      </c>
      <c r="AJ2540" s="5" t="s">
        <v>3619</v>
      </c>
      <c r="AK2540" s="5" t="s">
        <v>3622</v>
      </c>
    </row>
    <row r="2541" spans="35:37">
      <c r="AI2541" s="468">
        <v>44913</v>
      </c>
      <c r="AJ2541" s="5" t="s">
        <v>3621</v>
      </c>
      <c r="AK2541" s="5" t="s">
        <v>3623</v>
      </c>
    </row>
    <row r="2542" spans="35:37">
      <c r="AI2542" s="468">
        <v>44914</v>
      </c>
      <c r="AJ2542" s="5" t="s">
        <v>3579</v>
      </c>
      <c r="AK2542" s="5" t="s">
        <v>3625</v>
      </c>
    </row>
    <row r="2543" spans="35:37">
      <c r="AI2543" s="468">
        <v>44915</v>
      </c>
      <c r="AJ2543" s="5" t="s">
        <v>3624</v>
      </c>
      <c r="AK2543" s="5" t="s">
        <v>3627</v>
      </c>
    </row>
    <row r="2544" spans="35:37">
      <c r="AI2544" s="468">
        <v>44916</v>
      </c>
      <c r="AJ2544" s="5" t="s">
        <v>3626</v>
      </c>
      <c r="AK2544" s="5" t="s">
        <v>3618</v>
      </c>
    </row>
    <row r="2545" spans="35:37">
      <c r="AI2545" s="468">
        <v>44917</v>
      </c>
      <c r="AJ2545" s="5" t="s">
        <v>3628</v>
      </c>
      <c r="AK2545" s="5" t="s">
        <v>3620</v>
      </c>
    </row>
    <row r="2546" spans="35:37">
      <c r="AI2546" s="468">
        <v>44918</v>
      </c>
      <c r="AJ2546" s="5" t="s">
        <v>3617</v>
      </c>
      <c r="AK2546" s="5" t="s">
        <v>3625</v>
      </c>
    </row>
    <row r="2547" spans="35:37">
      <c r="AI2547" s="468">
        <v>44919</v>
      </c>
      <c r="AJ2547" s="5" t="s">
        <v>3619</v>
      </c>
      <c r="AK2547" s="5" t="s">
        <v>3627</v>
      </c>
    </row>
    <row r="2548" spans="35:37">
      <c r="AI2548" s="468">
        <v>44920</v>
      </c>
      <c r="AJ2548" s="5" t="s">
        <v>3621</v>
      </c>
      <c r="AK2548" s="5" t="s">
        <v>3618</v>
      </c>
    </row>
    <row r="2549" spans="35:37">
      <c r="AI2549" s="468">
        <v>44921</v>
      </c>
      <c r="AJ2549" s="5" t="s">
        <v>3579</v>
      </c>
      <c r="AK2549" s="5" t="s">
        <v>3620</v>
      </c>
    </row>
    <row r="2550" spans="35:37">
      <c r="AI2550" s="468">
        <v>44922</v>
      </c>
      <c r="AJ2550" s="5" t="s">
        <v>3624</v>
      </c>
      <c r="AK2550" s="5" t="s">
        <v>3622</v>
      </c>
    </row>
    <row r="2551" spans="35:37">
      <c r="AI2551" s="468">
        <v>44923</v>
      </c>
      <c r="AJ2551" s="5" t="s">
        <v>3626</v>
      </c>
      <c r="AK2551" s="5" t="s">
        <v>3623</v>
      </c>
    </row>
    <row r="2552" spans="35:37">
      <c r="AI2552" s="468">
        <v>44924</v>
      </c>
      <c r="AJ2552" s="5" t="s">
        <v>3628</v>
      </c>
      <c r="AK2552" s="5" t="s">
        <v>3625</v>
      </c>
    </row>
    <row r="2553" spans="35:37">
      <c r="AI2553" s="468">
        <v>44925</v>
      </c>
      <c r="AJ2553" s="5" t="s">
        <v>3617</v>
      </c>
      <c r="AK2553" s="5" t="s">
        <v>3627</v>
      </c>
    </row>
    <row r="2554" spans="35:37">
      <c r="AI2554" s="468">
        <v>44926</v>
      </c>
      <c r="AJ2554" s="5" t="s">
        <v>3619</v>
      </c>
      <c r="AK2554" s="5" t="s">
        <v>3618</v>
      </c>
    </row>
    <row r="2555" spans="35:37">
      <c r="AI2555" s="468">
        <v>44927</v>
      </c>
      <c r="AJ2555" s="5" t="s">
        <v>3621</v>
      </c>
      <c r="AK2555" s="5" t="s">
        <v>3620</v>
      </c>
    </row>
    <row r="2556" spans="35:37">
      <c r="AI2556" s="468">
        <v>44928</v>
      </c>
      <c r="AJ2556" s="5" t="s">
        <v>3579</v>
      </c>
      <c r="AK2556" s="5" t="s">
        <v>3622</v>
      </c>
    </row>
    <row r="2557" spans="35:37">
      <c r="AI2557" s="468">
        <v>44929</v>
      </c>
      <c r="AJ2557" s="5" t="s">
        <v>3624</v>
      </c>
      <c r="AK2557" s="5" t="s">
        <v>3623</v>
      </c>
    </row>
    <row r="2558" spans="35:37">
      <c r="AI2558" s="468">
        <v>44930</v>
      </c>
      <c r="AJ2558" s="5" t="s">
        <v>3626</v>
      </c>
      <c r="AK2558" s="5" t="s">
        <v>3625</v>
      </c>
    </row>
    <row r="2559" spans="35:37">
      <c r="AI2559" s="468">
        <v>44931</v>
      </c>
      <c r="AJ2559" s="5" t="s">
        <v>3628</v>
      </c>
      <c r="AK2559" s="5" t="s">
        <v>3627</v>
      </c>
    </row>
    <row r="2560" spans="35:37">
      <c r="AI2560" s="468">
        <v>44932</v>
      </c>
      <c r="AJ2560" s="5" t="s">
        <v>3617</v>
      </c>
      <c r="AK2560" s="5" t="s">
        <v>3618</v>
      </c>
    </row>
    <row r="2561" spans="35:37">
      <c r="AI2561" s="468">
        <v>44933</v>
      </c>
      <c r="AJ2561" s="5" t="s">
        <v>3619</v>
      </c>
      <c r="AK2561" s="5" t="s">
        <v>3620</v>
      </c>
    </row>
    <row r="2562" spans="35:37">
      <c r="AI2562" s="468">
        <v>44934</v>
      </c>
      <c r="AJ2562" s="5" t="s">
        <v>3621</v>
      </c>
      <c r="AK2562" s="5" t="s">
        <v>3622</v>
      </c>
    </row>
    <row r="2563" spans="35:37">
      <c r="AI2563" s="468">
        <v>44935</v>
      </c>
      <c r="AJ2563" s="5" t="s">
        <v>3579</v>
      </c>
      <c r="AK2563" s="5" t="s">
        <v>3623</v>
      </c>
    </row>
    <row r="2564" spans="35:37">
      <c r="AI2564" s="468">
        <v>44936</v>
      </c>
      <c r="AJ2564" s="5" t="s">
        <v>3624</v>
      </c>
      <c r="AK2564" s="5" t="s">
        <v>3625</v>
      </c>
    </row>
    <row r="2565" spans="35:37">
      <c r="AI2565" s="468">
        <v>44937</v>
      </c>
      <c r="AJ2565" s="5" t="s">
        <v>3626</v>
      </c>
      <c r="AK2565" s="5" t="s">
        <v>3627</v>
      </c>
    </row>
    <row r="2566" spans="35:37">
      <c r="AI2566" s="468">
        <v>44938</v>
      </c>
      <c r="AJ2566" s="5" t="s">
        <v>3628</v>
      </c>
      <c r="AK2566" s="5" t="s">
        <v>3618</v>
      </c>
    </row>
    <row r="2567" spans="35:37">
      <c r="AI2567" s="468">
        <v>44939</v>
      </c>
      <c r="AJ2567" s="5" t="s">
        <v>3617</v>
      </c>
      <c r="AK2567" s="5" t="s">
        <v>3620</v>
      </c>
    </row>
    <row r="2568" spans="35:37">
      <c r="AI2568" s="468">
        <v>44940</v>
      </c>
      <c r="AJ2568" s="5" t="s">
        <v>3619</v>
      </c>
      <c r="AK2568" s="5" t="s">
        <v>3622</v>
      </c>
    </row>
    <row r="2569" spans="35:37">
      <c r="AI2569" s="468">
        <v>44941</v>
      </c>
      <c r="AJ2569" s="5" t="s">
        <v>3621</v>
      </c>
      <c r="AK2569" s="5" t="s">
        <v>3623</v>
      </c>
    </row>
    <row r="2570" spans="35:37">
      <c r="AI2570" s="468">
        <v>44942</v>
      </c>
      <c r="AJ2570" s="5" t="s">
        <v>3579</v>
      </c>
      <c r="AK2570" s="5" t="s">
        <v>3625</v>
      </c>
    </row>
    <row r="2571" spans="35:37">
      <c r="AI2571" s="468">
        <v>44943</v>
      </c>
      <c r="AJ2571" s="5" t="s">
        <v>3624</v>
      </c>
      <c r="AK2571" s="5" t="s">
        <v>3627</v>
      </c>
    </row>
    <row r="2572" spans="35:37">
      <c r="AI2572" s="468">
        <v>44944</v>
      </c>
      <c r="AJ2572" s="5" t="s">
        <v>3626</v>
      </c>
      <c r="AK2572" s="5" t="s">
        <v>3618</v>
      </c>
    </row>
    <row r="2573" spans="35:37">
      <c r="AI2573" s="468">
        <v>44945</v>
      </c>
      <c r="AJ2573" s="5" t="s">
        <v>3628</v>
      </c>
      <c r="AK2573" s="5" t="s">
        <v>3620</v>
      </c>
    </row>
    <row r="2574" spans="35:37">
      <c r="AI2574" s="468">
        <v>44946</v>
      </c>
      <c r="AJ2574" s="5" t="s">
        <v>3617</v>
      </c>
      <c r="AK2574" s="5" t="s">
        <v>3622</v>
      </c>
    </row>
    <row r="2575" spans="35:37">
      <c r="AI2575" s="468">
        <v>44947</v>
      </c>
      <c r="AJ2575" s="5" t="s">
        <v>3619</v>
      </c>
      <c r="AK2575" s="5" t="s">
        <v>3623</v>
      </c>
    </row>
    <row r="2576" spans="35:37">
      <c r="AI2576" s="468">
        <v>44948</v>
      </c>
      <c r="AJ2576" s="5" t="s">
        <v>3621</v>
      </c>
      <c r="AK2576" s="5" t="s">
        <v>3627</v>
      </c>
    </row>
    <row r="2577" spans="35:37">
      <c r="AI2577" s="468">
        <v>44949</v>
      </c>
      <c r="AJ2577" s="5" t="s">
        <v>3579</v>
      </c>
      <c r="AK2577" s="5" t="s">
        <v>3618</v>
      </c>
    </row>
    <row r="2578" spans="35:37">
      <c r="AI2578" s="468">
        <v>44950</v>
      </c>
      <c r="AJ2578" s="5" t="s">
        <v>3624</v>
      </c>
      <c r="AK2578" s="5" t="s">
        <v>3620</v>
      </c>
    </row>
    <row r="2579" spans="35:37">
      <c r="AI2579" s="468">
        <v>44951</v>
      </c>
      <c r="AJ2579" s="5" t="s">
        <v>3626</v>
      </c>
      <c r="AK2579" s="5" t="s">
        <v>3622</v>
      </c>
    </row>
    <row r="2580" spans="35:37">
      <c r="AI2580" s="468">
        <v>44952</v>
      </c>
      <c r="AJ2580" s="5" t="s">
        <v>3628</v>
      </c>
      <c r="AK2580" s="5" t="s">
        <v>3623</v>
      </c>
    </row>
    <row r="2581" spans="35:37">
      <c r="AI2581" s="468">
        <v>44953</v>
      </c>
      <c r="AJ2581" s="5" t="s">
        <v>3617</v>
      </c>
      <c r="AK2581" s="5" t="s">
        <v>3625</v>
      </c>
    </row>
    <row r="2582" spans="35:37">
      <c r="AI2582" s="468">
        <v>44954</v>
      </c>
      <c r="AJ2582" s="5" t="s">
        <v>3619</v>
      </c>
      <c r="AK2582" s="5" t="s">
        <v>3627</v>
      </c>
    </row>
    <row r="2583" spans="35:37">
      <c r="AI2583" s="468">
        <v>44955</v>
      </c>
      <c r="AJ2583" s="5" t="s">
        <v>3621</v>
      </c>
      <c r="AK2583" s="5" t="s">
        <v>3618</v>
      </c>
    </row>
    <row r="2584" spans="35:37">
      <c r="AI2584" s="468">
        <v>44956</v>
      </c>
      <c r="AJ2584" s="5" t="s">
        <v>3579</v>
      </c>
      <c r="AK2584" s="5" t="s">
        <v>3620</v>
      </c>
    </row>
    <row r="2585" spans="35:37">
      <c r="AI2585" s="468">
        <v>44957</v>
      </c>
      <c r="AJ2585" s="5" t="s">
        <v>3624</v>
      </c>
      <c r="AK2585" s="5" t="s">
        <v>3622</v>
      </c>
    </row>
    <row r="2586" spans="35:37">
      <c r="AI2586" s="468">
        <v>44958</v>
      </c>
      <c r="AJ2586" s="5" t="s">
        <v>3626</v>
      </c>
      <c r="AK2586" s="5" t="s">
        <v>3623</v>
      </c>
    </row>
    <row r="2587" spans="35:37">
      <c r="AI2587" s="468">
        <v>44959</v>
      </c>
      <c r="AJ2587" s="5" t="s">
        <v>3628</v>
      </c>
      <c r="AK2587" s="5" t="s">
        <v>3625</v>
      </c>
    </row>
    <row r="2588" spans="35:37">
      <c r="AI2588" s="468">
        <v>44960</v>
      </c>
      <c r="AJ2588" s="5" t="s">
        <v>3617</v>
      </c>
      <c r="AK2588" s="5" t="s">
        <v>3627</v>
      </c>
    </row>
    <row r="2589" spans="35:37">
      <c r="AI2589" s="468">
        <v>44961</v>
      </c>
      <c r="AJ2589" s="5" t="s">
        <v>3619</v>
      </c>
      <c r="AK2589" s="5" t="s">
        <v>3618</v>
      </c>
    </row>
    <row r="2590" spans="35:37">
      <c r="AI2590" s="468">
        <v>44962</v>
      </c>
      <c r="AJ2590" s="5" t="s">
        <v>3621</v>
      </c>
      <c r="AK2590" s="5" t="s">
        <v>3620</v>
      </c>
    </row>
    <row r="2591" spans="35:37">
      <c r="AI2591" s="468">
        <v>44963</v>
      </c>
      <c r="AJ2591" s="5" t="s">
        <v>3579</v>
      </c>
      <c r="AK2591" s="5" t="s">
        <v>3622</v>
      </c>
    </row>
    <row r="2592" spans="35:37">
      <c r="AI2592" s="468">
        <v>44964</v>
      </c>
      <c r="AJ2592" s="5" t="s">
        <v>3624</v>
      </c>
      <c r="AK2592" s="5" t="s">
        <v>3623</v>
      </c>
    </row>
    <row r="2593" spans="35:37">
      <c r="AI2593" s="468">
        <v>44965</v>
      </c>
      <c r="AJ2593" s="5" t="s">
        <v>3626</v>
      </c>
      <c r="AK2593" s="5" t="s">
        <v>3625</v>
      </c>
    </row>
    <row r="2594" spans="35:37">
      <c r="AI2594" s="468">
        <v>44966</v>
      </c>
      <c r="AJ2594" s="5" t="s">
        <v>3628</v>
      </c>
      <c r="AK2594" s="5" t="s">
        <v>3627</v>
      </c>
    </row>
    <row r="2595" spans="35:37">
      <c r="AI2595" s="468">
        <v>44967</v>
      </c>
      <c r="AJ2595" s="5" t="s">
        <v>3617</v>
      </c>
      <c r="AK2595" s="5" t="s">
        <v>3618</v>
      </c>
    </row>
    <row r="2596" spans="35:37">
      <c r="AI2596" s="468">
        <v>44968</v>
      </c>
      <c r="AJ2596" s="5" t="s">
        <v>3619</v>
      </c>
      <c r="AK2596" s="5" t="s">
        <v>3620</v>
      </c>
    </row>
    <row r="2597" spans="35:37">
      <c r="AI2597" s="468">
        <v>44969</v>
      </c>
      <c r="AJ2597" s="5" t="s">
        <v>3621</v>
      </c>
      <c r="AK2597" s="5" t="s">
        <v>3622</v>
      </c>
    </row>
    <row r="2598" spans="35:37">
      <c r="AI2598" s="468">
        <v>44970</v>
      </c>
      <c r="AJ2598" s="5" t="s">
        <v>3579</v>
      </c>
      <c r="AK2598" s="5" t="s">
        <v>3623</v>
      </c>
    </row>
    <row r="2599" spans="35:37">
      <c r="AI2599" s="468">
        <v>44971</v>
      </c>
      <c r="AJ2599" s="5" t="s">
        <v>3624</v>
      </c>
      <c r="AK2599" s="5" t="s">
        <v>3625</v>
      </c>
    </row>
    <row r="2600" spans="35:37">
      <c r="AI2600" s="468">
        <v>44972</v>
      </c>
      <c r="AJ2600" s="5" t="s">
        <v>3626</v>
      </c>
      <c r="AK2600" s="5" t="s">
        <v>3627</v>
      </c>
    </row>
    <row r="2601" spans="35:37">
      <c r="AI2601" s="468">
        <v>44973</v>
      </c>
      <c r="AJ2601" s="5" t="s">
        <v>3628</v>
      </c>
      <c r="AK2601" s="5" t="s">
        <v>3618</v>
      </c>
    </row>
    <row r="2602" spans="35:37">
      <c r="AI2602" s="468">
        <v>44974</v>
      </c>
      <c r="AJ2602" s="5" t="s">
        <v>3617</v>
      </c>
      <c r="AK2602" s="5" t="s">
        <v>3620</v>
      </c>
    </row>
    <row r="2603" spans="35:37">
      <c r="AI2603" s="468">
        <v>44975</v>
      </c>
      <c r="AJ2603" s="5" t="s">
        <v>3619</v>
      </c>
      <c r="AK2603" s="5" t="s">
        <v>3622</v>
      </c>
    </row>
    <row r="2604" spans="35:37">
      <c r="AI2604" s="468">
        <v>44976</v>
      </c>
      <c r="AJ2604" s="5" t="s">
        <v>3621</v>
      </c>
      <c r="AK2604" s="5" t="s">
        <v>3623</v>
      </c>
    </row>
    <row r="2605" spans="35:37">
      <c r="AI2605" s="468">
        <v>44977</v>
      </c>
      <c r="AJ2605" s="5" t="s">
        <v>3579</v>
      </c>
      <c r="AK2605" s="5" t="s">
        <v>3618</v>
      </c>
    </row>
    <row r="2606" spans="35:37">
      <c r="AI2606" s="468">
        <v>44978</v>
      </c>
      <c r="AJ2606" s="5" t="s">
        <v>3624</v>
      </c>
      <c r="AK2606" s="5" t="s">
        <v>3620</v>
      </c>
    </row>
    <row r="2607" spans="35:37">
      <c r="AI2607" s="468">
        <v>44979</v>
      </c>
      <c r="AJ2607" s="5" t="s">
        <v>3626</v>
      </c>
      <c r="AK2607" s="5" t="s">
        <v>3622</v>
      </c>
    </row>
    <row r="2608" spans="35:37">
      <c r="AI2608" s="468">
        <v>44980</v>
      </c>
      <c r="AJ2608" s="5" t="s">
        <v>3628</v>
      </c>
      <c r="AK2608" s="5" t="s">
        <v>3623</v>
      </c>
    </row>
    <row r="2609" spans="35:37">
      <c r="AI2609" s="468">
        <v>44981</v>
      </c>
      <c r="AJ2609" s="5" t="s">
        <v>3617</v>
      </c>
      <c r="AK2609" s="5" t="s">
        <v>3625</v>
      </c>
    </row>
    <row r="2610" spans="35:37">
      <c r="AI2610" s="468">
        <v>44982</v>
      </c>
      <c r="AJ2610" s="5" t="s">
        <v>3619</v>
      </c>
      <c r="AK2610" s="5" t="s">
        <v>3627</v>
      </c>
    </row>
    <row r="2611" spans="35:37">
      <c r="AI2611" s="468">
        <v>44983</v>
      </c>
      <c r="AJ2611" s="5" t="s">
        <v>3621</v>
      </c>
      <c r="AK2611" s="5" t="s">
        <v>3618</v>
      </c>
    </row>
    <row r="2612" spans="35:37">
      <c r="AI2612" s="468">
        <v>44984</v>
      </c>
      <c r="AJ2612" s="5" t="s">
        <v>3579</v>
      </c>
      <c r="AK2612" s="5" t="s">
        <v>3620</v>
      </c>
    </row>
    <row r="2613" spans="35:37">
      <c r="AI2613" s="468">
        <v>44985</v>
      </c>
      <c r="AJ2613" s="5" t="s">
        <v>3624</v>
      </c>
      <c r="AK2613" s="5" t="s">
        <v>3622</v>
      </c>
    </row>
    <row r="2614" spans="35:37">
      <c r="AI2614" s="468">
        <v>44986</v>
      </c>
      <c r="AJ2614" s="5" t="s">
        <v>3626</v>
      </c>
      <c r="AK2614" s="5" t="s">
        <v>3623</v>
      </c>
    </row>
    <row r="2615" spans="35:37">
      <c r="AI2615" s="468">
        <v>44987</v>
      </c>
      <c r="AJ2615" s="5" t="s">
        <v>3628</v>
      </c>
      <c r="AK2615" s="5" t="s">
        <v>3625</v>
      </c>
    </row>
    <row r="2616" spans="35:37">
      <c r="AI2616" s="468">
        <v>44988</v>
      </c>
      <c r="AJ2616" s="5" t="s">
        <v>3617</v>
      </c>
      <c r="AK2616" s="5" t="s">
        <v>3627</v>
      </c>
    </row>
    <row r="2617" spans="35:37">
      <c r="AI2617" s="468">
        <v>44989</v>
      </c>
      <c r="AJ2617" s="5" t="s">
        <v>3619</v>
      </c>
      <c r="AK2617" s="5" t="s">
        <v>3618</v>
      </c>
    </row>
    <row r="2618" spans="35:37">
      <c r="AI2618" s="468">
        <v>44990</v>
      </c>
      <c r="AJ2618" s="5" t="s">
        <v>3621</v>
      </c>
      <c r="AK2618" s="5" t="s">
        <v>3620</v>
      </c>
    </row>
    <row r="2619" spans="35:37">
      <c r="AI2619" s="468">
        <v>44991</v>
      </c>
      <c r="AJ2619" s="5" t="s">
        <v>3579</v>
      </c>
      <c r="AK2619" s="5" t="s">
        <v>3622</v>
      </c>
    </row>
    <row r="2620" spans="35:37">
      <c r="AI2620" s="468">
        <v>44992</v>
      </c>
      <c r="AJ2620" s="5" t="s">
        <v>3624</v>
      </c>
      <c r="AK2620" s="5" t="s">
        <v>3623</v>
      </c>
    </row>
    <row r="2621" spans="35:37">
      <c r="AI2621" s="468">
        <v>44993</v>
      </c>
      <c r="AJ2621" s="5" t="s">
        <v>3626</v>
      </c>
      <c r="AK2621" s="5" t="s">
        <v>3625</v>
      </c>
    </row>
    <row r="2622" spans="35:37">
      <c r="AI2622" s="468">
        <v>44994</v>
      </c>
      <c r="AJ2622" s="5" t="s">
        <v>3628</v>
      </c>
      <c r="AK2622" s="5" t="s">
        <v>3627</v>
      </c>
    </row>
    <row r="2623" spans="35:37">
      <c r="AI2623" s="468">
        <v>44995</v>
      </c>
      <c r="AJ2623" s="5" t="s">
        <v>3617</v>
      </c>
      <c r="AK2623" s="5" t="s">
        <v>3618</v>
      </c>
    </row>
    <row r="2624" spans="35:37">
      <c r="AI2624" s="468">
        <v>44996</v>
      </c>
      <c r="AJ2624" s="5" t="s">
        <v>3619</v>
      </c>
      <c r="AK2624" s="5" t="s">
        <v>3620</v>
      </c>
    </row>
    <row r="2625" spans="35:37">
      <c r="AI2625" s="468">
        <v>44997</v>
      </c>
      <c r="AJ2625" s="5" t="s">
        <v>3621</v>
      </c>
      <c r="AK2625" s="5" t="s">
        <v>3622</v>
      </c>
    </row>
    <row r="2626" spans="35:37">
      <c r="AI2626" s="468">
        <v>44998</v>
      </c>
      <c r="AJ2626" s="5" t="s">
        <v>3579</v>
      </c>
      <c r="AK2626" s="5" t="s">
        <v>3623</v>
      </c>
    </row>
    <row r="2627" spans="35:37">
      <c r="AI2627" s="468">
        <v>44999</v>
      </c>
      <c r="AJ2627" s="5" t="s">
        <v>3624</v>
      </c>
      <c r="AK2627" s="5" t="s">
        <v>3625</v>
      </c>
    </row>
    <row r="2628" spans="35:37">
      <c r="AI2628" s="468">
        <v>45000</v>
      </c>
      <c r="AJ2628" s="5" t="s">
        <v>3626</v>
      </c>
      <c r="AK2628" s="5" t="s">
        <v>3627</v>
      </c>
    </row>
    <row r="2629" spans="35:37">
      <c r="AI2629" s="468">
        <v>45001</v>
      </c>
      <c r="AJ2629" s="5" t="s">
        <v>3628</v>
      </c>
      <c r="AK2629" s="5" t="s">
        <v>3618</v>
      </c>
    </row>
    <row r="2630" spans="35:37">
      <c r="AI2630" s="468">
        <v>45002</v>
      </c>
      <c r="AJ2630" s="5" t="s">
        <v>3617</v>
      </c>
      <c r="AK2630" s="5" t="s">
        <v>3620</v>
      </c>
    </row>
    <row r="2631" spans="35:37">
      <c r="AI2631" s="468">
        <v>45003</v>
      </c>
      <c r="AJ2631" s="5" t="s">
        <v>3619</v>
      </c>
      <c r="AK2631" s="5" t="s">
        <v>3622</v>
      </c>
    </row>
    <row r="2632" spans="35:37">
      <c r="AI2632" s="468">
        <v>45004</v>
      </c>
      <c r="AJ2632" s="5" t="s">
        <v>3621</v>
      </c>
      <c r="AK2632" s="5" t="s">
        <v>3623</v>
      </c>
    </row>
    <row r="2633" spans="35:37">
      <c r="AI2633" s="468">
        <v>45005</v>
      </c>
      <c r="AJ2633" s="5" t="s">
        <v>3579</v>
      </c>
      <c r="AK2633" s="5" t="s">
        <v>3625</v>
      </c>
    </row>
    <row r="2634" spans="35:37">
      <c r="AI2634" s="468">
        <v>45006</v>
      </c>
      <c r="AJ2634" s="5" t="s">
        <v>3624</v>
      </c>
      <c r="AK2634" s="5" t="s">
        <v>3627</v>
      </c>
    </row>
    <row r="2635" spans="35:37">
      <c r="AI2635" s="468">
        <v>45007</v>
      </c>
      <c r="AJ2635" s="5" t="s">
        <v>3626</v>
      </c>
      <c r="AK2635" s="5" t="s">
        <v>3618</v>
      </c>
    </row>
    <row r="2636" spans="35:37">
      <c r="AI2636" s="468">
        <v>45008</v>
      </c>
      <c r="AJ2636" s="5" t="s">
        <v>3628</v>
      </c>
      <c r="AK2636" s="5" t="s">
        <v>3620</v>
      </c>
    </row>
    <row r="2637" spans="35:37">
      <c r="AI2637" s="468">
        <v>45009</v>
      </c>
      <c r="AJ2637" s="5" t="s">
        <v>3617</v>
      </c>
      <c r="AK2637" s="5" t="s">
        <v>3622</v>
      </c>
    </row>
    <row r="2638" spans="35:37">
      <c r="AI2638" s="468">
        <v>45010</v>
      </c>
      <c r="AJ2638" s="5" t="s">
        <v>3619</v>
      </c>
      <c r="AK2638" s="5" t="s">
        <v>3623</v>
      </c>
    </row>
    <row r="2639" spans="35:37">
      <c r="AI2639" s="468">
        <v>45011</v>
      </c>
      <c r="AJ2639" s="5" t="s">
        <v>3621</v>
      </c>
      <c r="AK2639" s="5" t="s">
        <v>3625</v>
      </c>
    </row>
    <row r="2640" spans="35:37">
      <c r="AI2640" s="468">
        <v>45012</v>
      </c>
      <c r="AJ2640" s="5" t="s">
        <v>3579</v>
      </c>
      <c r="AK2640" s="5" t="s">
        <v>3627</v>
      </c>
    </row>
    <row r="2641" spans="35:37">
      <c r="AI2641" s="468">
        <v>45013</v>
      </c>
      <c r="AJ2641" s="5" t="s">
        <v>3624</v>
      </c>
      <c r="AK2641" s="5" t="s">
        <v>3618</v>
      </c>
    </row>
    <row r="2642" spans="35:37">
      <c r="AI2642" s="468">
        <v>45014</v>
      </c>
      <c r="AJ2642" s="5" t="s">
        <v>3626</v>
      </c>
      <c r="AK2642" s="5" t="s">
        <v>3620</v>
      </c>
    </row>
    <row r="2643" spans="35:37">
      <c r="AI2643" s="468">
        <v>45015</v>
      </c>
      <c r="AJ2643" s="5" t="s">
        <v>3628</v>
      </c>
      <c r="AK2643" s="5" t="s">
        <v>3622</v>
      </c>
    </row>
    <row r="2644" spans="35:37">
      <c r="AI2644" s="468">
        <v>45016</v>
      </c>
      <c r="AJ2644" s="5" t="s">
        <v>3617</v>
      </c>
      <c r="AK2644" s="5" t="s">
        <v>3623</v>
      </c>
    </row>
    <row r="2645" spans="35:37">
      <c r="AI2645" s="468">
        <v>45017</v>
      </c>
      <c r="AJ2645" s="5" t="s">
        <v>3619</v>
      </c>
      <c r="AK2645" s="5" t="s">
        <v>3625</v>
      </c>
    </row>
    <row r="2646" spans="35:37">
      <c r="AI2646" s="468">
        <v>45018</v>
      </c>
      <c r="AJ2646" s="5" t="s">
        <v>3621</v>
      </c>
      <c r="AK2646" s="5" t="s">
        <v>3627</v>
      </c>
    </row>
    <row r="2647" spans="35:37">
      <c r="AI2647" s="468">
        <v>45019</v>
      </c>
      <c r="AJ2647" s="5" t="s">
        <v>3579</v>
      </c>
      <c r="AK2647" s="5" t="s">
        <v>3618</v>
      </c>
    </row>
    <row r="2648" spans="35:37">
      <c r="AI2648" s="468">
        <v>45020</v>
      </c>
      <c r="AJ2648" s="5" t="s">
        <v>3624</v>
      </c>
      <c r="AK2648" s="5" t="s">
        <v>3620</v>
      </c>
    </row>
    <row r="2649" spans="35:37">
      <c r="AI2649" s="468">
        <v>45021</v>
      </c>
      <c r="AJ2649" s="5" t="s">
        <v>3626</v>
      </c>
      <c r="AK2649" s="5" t="s">
        <v>3622</v>
      </c>
    </row>
    <row r="2650" spans="35:37">
      <c r="AI2650" s="468">
        <v>45022</v>
      </c>
      <c r="AJ2650" s="5" t="s">
        <v>3628</v>
      </c>
      <c r="AK2650" s="5" t="s">
        <v>3623</v>
      </c>
    </row>
    <row r="2651" spans="35:37">
      <c r="AI2651" s="468">
        <v>45023</v>
      </c>
      <c r="AJ2651" s="5" t="s">
        <v>3617</v>
      </c>
      <c r="AK2651" s="5" t="s">
        <v>3625</v>
      </c>
    </row>
    <row r="2652" spans="35:37">
      <c r="AI2652" s="468">
        <v>45024</v>
      </c>
      <c r="AJ2652" s="5" t="s">
        <v>3619</v>
      </c>
      <c r="AK2652" s="5" t="s">
        <v>3627</v>
      </c>
    </row>
    <row r="2653" spans="35:37">
      <c r="AI2653" s="468">
        <v>45025</v>
      </c>
      <c r="AJ2653" s="5" t="s">
        <v>3621</v>
      </c>
      <c r="AK2653" s="5" t="s">
        <v>3618</v>
      </c>
    </row>
    <row r="2654" spans="35:37">
      <c r="AI2654" s="468">
        <v>45026</v>
      </c>
      <c r="AJ2654" s="5" t="s">
        <v>3579</v>
      </c>
      <c r="AK2654" s="5" t="s">
        <v>3620</v>
      </c>
    </row>
    <row r="2655" spans="35:37">
      <c r="AI2655" s="468">
        <v>45027</v>
      </c>
      <c r="AJ2655" s="5" t="s">
        <v>3624</v>
      </c>
      <c r="AK2655" s="5" t="s">
        <v>3622</v>
      </c>
    </row>
    <row r="2656" spans="35:37">
      <c r="AI2656" s="468">
        <v>45028</v>
      </c>
      <c r="AJ2656" s="5" t="s">
        <v>3626</v>
      </c>
      <c r="AK2656" s="5" t="s">
        <v>3623</v>
      </c>
    </row>
    <row r="2657" spans="35:37">
      <c r="AI2657" s="468">
        <v>45029</v>
      </c>
      <c r="AJ2657" s="5" t="s">
        <v>3628</v>
      </c>
      <c r="AK2657" s="5" t="s">
        <v>3625</v>
      </c>
    </row>
    <row r="2658" spans="35:37">
      <c r="AI2658" s="468">
        <v>45030</v>
      </c>
      <c r="AJ2658" s="5" t="s">
        <v>3617</v>
      </c>
      <c r="AK2658" s="5" t="s">
        <v>3627</v>
      </c>
    </row>
    <row r="2659" spans="35:37">
      <c r="AI2659" s="468">
        <v>45031</v>
      </c>
      <c r="AJ2659" s="5" t="s">
        <v>3619</v>
      </c>
      <c r="AK2659" s="5" t="s">
        <v>3618</v>
      </c>
    </row>
    <row r="2660" spans="35:37">
      <c r="AI2660" s="468">
        <v>45032</v>
      </c>
      <c r="AJ2660" s="5" t="s">
        <v>3621</v>
      </c>
      <c r="AK2660" s="5" t="s">
        <v>3620</v>
      </c>
    </row>
    <row r="2661" spans="35:37">
      <c r="AI2661" s="468">
        <v>45033</v>
      </c>
      <c r="AJ2661" s="5" t="s">
        <v>3579</v>
      </c>
      <c r="AK2661" s="5" t="s">
        <v>3622</v>
      </c>
    </row>
    <row r="2662" spans="35:37">
      <c r="AI2662" s="468">
        <v>45034</v>
      </c>
      <c r="AJ2662" s="5" t="s">
        <v>3624</v>
      </c>
      <c r="AK2662" s="5" t="s">
        <v>3623</v>
      </c>
    </row>
    <row r="2663" spans="35:37">
      <c r="AI2663" s="468">
        <v>45035</v>
      </c>
      <c r="AJ2663" s="5" t="s">
        <v>3626</v>
      </c>
      <c r="AK2663" s="5" t="s">
        <v>3625</v>
      </c>
    </row>
    <row r="2664" spans="35:37">
      <c r="AI2664" s="468">
        <v>45036</v>
      </c>
      <c r="AJ2664" s="5" t="s">
        <v>3628</v>
      </c>
      <c r="AK2664" s="5" t="s">
        <v>3620</v>
      </c>
    </row>
    <row r="2665" spans="35:37">
      <c r="AI2665" s="468">
        <v>45037</v>
      </c>
      <c r="AJ2665" s="5" t="s">
        <v>3617</v>
      </c>
      <c r="AK2665" s="5" t="s">
        <v>3622</v>
      </c>
    </row>
    <row r="2666" spans="35:37">
      <c r="AI2666" s="468">
        <v>45038</v>
      </c>
      <c r="AJ2666" s="5" t="s">
        <v>3619</v>
      </c>
      <c r="AK2666" s="5" t="s">
        <v>3623</v>
      </c>
    </row>
    <row r="2667" spans="35:37">
      <c r="AI2667" s="468">
        <v>45039</v>
      </c>
      <c r="AJ2667" s="5" t="s">
        <v>3621</v>
      </c>
      <c r="AK2667" s="5" t="s">
        <v>3625</v>
      </c>
    </row>
    <row r="2668" spans="35:37">
      <c r="AI2668" s="468">
        <v>45040</v>
      </c>
      <c r="AJ2668" s="5" t="s">
        <v>3579</v>
      </c>
      <c r="AK2668" s="5" t="s">
        <v>3627</v>
      </c>
    </row>
    <row r="2669" spans="35:37">
      <c r="AI2669" s="468">
        <v>45041</v>
      </c>
      <c r="AJ2669" s="5" t="s">
        <v>3624</v>
      </c>
      <c r="AK2669" s="5" t="s">
        <v>3618</v>
      </c>
    </row>
    <row r="2670" spans="35:37">
      <c r="AI2670" s="468">
        <v>45042</v>
      </c>
      <c r="AJ2670" s="5" t="s">
        <v>3626</v>
      </c>
      <c r="AK2670" s="5" t="s">
        <v>3620</v>
      </c>
    </row>
    <row r="2671" spans="35:37">
      <c r="AI2671" s="468">
        <v>45043</v>
      </c>
      <c r="AJ2671" s="5" t="s">
        <v>3628</v>
      </c>
      <c r="AK2671" s="5" t="s">
        <v>3622</v>
      </c>
    </row>
    <row r="2672" spans="35:37">
      <c r="AI2672" s="468">
        <v>45044</v>
      </c>
      <c r="AJ2672" s="5" t="s">
        <v>3617</v>
      </c>
      <c r="AK2672" s="5" t="s">
        <v>3623</v>
      </c>
    </row>
    <row r="2673" spans="35:37">
      <c r="AI2673" s="468">
        <v>45045</v>
      </c>
      <c r="AJ2673" s="5" t="s">
        <v>3619</v>
      </c>
      <c r="AK2673" s="5" t="s">
        <v>3625</v>
      </c>
    </row>
    <row r="2674" spans="35:37">
      <c r="AI2674" s="468">
        <v>45046</v>
      </c>
      <c r="AJ2674" s="5" t="s">
        <v>3621</v>
      </c>
      <c r="AK2674" s="5" t="s">
        <v>3627</v>
      </c>
    </row>
    <row r="2675" spans="35:37">
      <c r="AI2675" s="468">
        <v>45047</v>
      </c>
      <c r="AJ2675" s="5" t="s">
        <v>3579</v>
      </c>
      <c r="AK2675" s="5" t="s">
        <v>3618</v>
      </c>
    </row>
    <row r="2676" spans="35:37">
      <c r="AI2676" s="468">
        <v>45048</v>
      </c>
      <c r="AJ2676" s="5" t="s">
        <v>3624</v>
      </c>
      <c r="AK2676" s="5" t="s">
        <v>3620</v>
      </c>
    </row>
    <row r="2677" spans="35:37">
      <c r="AI2677" s="468">
        <v>45049</v>
      </c>
      <c r="AJ2677" s="5" t="s">
        <v>3626</v>
      </c>
      <c r="AK2677" s="5" t="s">
        <v>3622</v>
      </c>
    </row>
    <row r="2678" spans="35:37">
      <c r="AI2678" s="468">
        <v>45050</v>
      </c>
      <c r="AJ2678" s="5" t="s">
        <v>3628</v>
      </c>
      <c r="AK2678" s="5" t="s">
        <v>3623</v>
      </c>
    </row>
    <row r="2679" spans="35:37">
      <c r="AI2679" s="468">
        <v>45051</v>
      </c>
      <c r="AJ2679" s="5" t="s">
        <v>3617</v>
      </c>
      <c r="AK2679" s="5" t="s">
        <v>3625</v>
      </c>
    </row>
    <row r="2680" spans="35:37">
      <c r="AI2680" s="468">
        <v>45052</v>
      </c>
      <c r="AJ2680" s="5" t="s">
        <v>3619</v>
      </c>
      <c r="AK2680" s="5" t="s">
        <v>3627</v>
      </c>
    </row>
    <row r="2681" spans="35:37">
      <c r="AI2681" s="468">
        <v>45053</v>
      </c>
      <c r="AJ2681" s="5" t="s">
        <v>3621</v>
      </c>
      <c r="AK2681" s="5" t="s">
        <v>3618</v>
      </c>
    </row>
    <row r="2682" spans="35:37">
      <c r="AI2682" s="468">
        <v>45054</v>
      </c>
      <c r="AJ2682" s="5" t="s">
        <v>3579</v>
      </c>
      <c r="AK2682" s="5" t="s">
        <v>3620</v>
      </c>
    </row>
    <row r="2683" spans="35:37">
      <c r="AI2683" s="468">
        <v>45055</v>
      </c>
      <c r="AJ2683" s="5" t="s">
        <v>3624</v>
      </c>
      <c r="AK2683" s="5" t="s">
        <v>3622</v>
      </c>
    </row>
    <row r="2684" spans="35:37">
      <c r="AI2684" s="468">
        <v>45056</v>
      </c>
      <c r="AJ2684" s="5" t="s">
        <v>3626</v>
      </c>
      <c r="AK2684" s="5" t="s">
        <v>3623</v>
      </c>
    </row>
    <row r="2685" spans="35:37">
      <c r="AI2685" s="468">
        <v>45057</v>
      </c>
      <c r="AJ2685" s="5" t="s">
        <v>3628</v>
      </c>
      <c r="AK2685" s="5" t="s">
        <v>3625</v>
      </c>
    </row>
    <row r="2686" spans="35:37">
      <c r="AI2686" s="468">
        <v>45058</v>
      </c>
      <c r="AJ2686" s="5" t="s">
        <v>3617</v>
      </c>
      <c r="AK2686" s="5" t="s">
        <v>3627</v>
      </c>
    </row>
    <row r="2687" spans="35:37">
      <c r="AI2687" s="468">
        <v>45059</v>
      </c>
      <c r="AJ2687" s="5" t="s">
        <v>3619</v>
      </c>
      <c r="AK2687" s="5" t="s">
        <v>3618</v>
      </c>
    </row>
    <row r="2688" spans="35:37">
      <c r="AI2688" s="468">
        <v>45060</v>
      </c>
      <c r="AJ2688" s="5" t="s">
        <v>3621</v>
      </c>
      <c r="AK2688" s="5" t="s">
        <v>3620</v>
      </c>
    </row>
    <row r="2689" spans="35:37">
      <c r="AI2689" s="468">
        <v>45061</v>
      </c>
      <c r="AJ2689" s="5" t="s">
        <v>3579</v>
      </c>
      <c r="AK2689" s="5" t="s">
        <v>3622</v>
      </c>
    </row>
    <row r="2690" spans="35:37">
      <c r="AI2690" s="468">
        <v>45062</v>
      </c>
      <c r="AJ2690" s="5" t="s">
        <v>3624</v>
      </c>
      <c r="AK2690" s="5" t="s">
        <v>3623</v>
      </c>
    </row>
    <row r="2691" spans="35:37">
      <c r="AI2691" s="468">
        <v>45063</v>
      </c>
      <c r="AJ2691" s="5" t="s">
        <v>3626</v>
      </c>
      <c r="AK2691" s="5" t="s">
        <v>3625</v>
      </c>
    </row>
    <row r="2692" spans="35:37">
      <c r="AI2692" s="468">
        <v>45064</v>
      </c>
      <c r="AJ2692" s="5" t="s">
        <v>3628</v>
      </c>
      <c r="AK2692" s="5" t="s">
        <v>3627</v>
      </c>
    </row>
    <row r="2693" spans="35:37">
      <c r="AI2693" s="468">
        <v>45065</v>
      </c>
      <c r="AJ2693" s="5" t="s">
        <v>3617</v>
      </c>
      <c r="AK2693" s="5" t="s">
        <v>3618</v>
      </c>
    </row>
    <row r="2694" spans="35:37">
      <c r="AI2694" s="468">
        <v>45066</v>
      </c>
      <c r="AJ2694" s="5" t="s">
        <v>3619</v>
      </c>
      <c r="AK2694" s="5" t="s">
        <v>3622</v>
      </c>
    </row>
    <row r="2695" spans="35:37">
      <c r="AI2695" s="468">
        <v>45067</v>
      </c>
      <c r="AJ2695" s="5" t="s">
        <v>3621</v>
      </c>
      <c r="AK2695" s="5" t="s">
        <v>3623</v>
      </c>
    </row>
    <row r="2696" spans="35:37">
      <c r="AI2696" s="468">
        <v>45068</v>
      </c>
      <c r="AJ2696" s="5" t="s">
        <v>3579</v>
      </c>
      <c r="AK2696" s="5" t="s">
        <v>3625</v>
      </c>
    </row>
    <row r="2697" spans="35:37">
      <c r="AI2697" s="468">
        <v>45069</v>
      </c>
      <c r="AJ2697" s="5" t="s">
        <v>3624</v>
      </c>
      <c r="AK2697" s="5" t="s">
        <v>3627</v>
      </c>
    </row>
    <row r="2698" spans="35:37">
      <c r="AI2698" s="468">
        <v>45070</v>
      </c>
      <c r="AJ2698" s="5" t="s">
        <v>3626</v>
      </c>
      <c r="AK2698" s="5" t="s">
        <v>3618</v>
      </c>
    </row>
    <row r="2699" spans="35:37">
      <c r="AI2699" s="468">
        <v>45071</v>
      </c>
      <c r="AJ2699" s="5" t="s">
        <v>3628</v>
      </c>
      <c r="AK2699" s="5" t="s">
        <v>3620</v>
      </c>
    </row>
    <row r="2700" spans="35:37">
      <c r="AI2700" s="468">
        <v>45072</v>
      </c>
      <c r="AJ2700" s="5" t="s">
        <v>3617</v>
      </c>
      <c r="AK2700" s="5" t="s">
        <v>3622</v>
      </c>
    </row>
    <row r="2701" spans="35:37">
      <c r="AI2701" s="468">
        <v>45073</v>
      </c>
      <c r="AJ2701" s="5" t="s">
        <v>3619</v>
      </c>
      <c r="AK2701" s="5" t="s">
        <v>3623</v>
      </c>
    </row>
    <row r="2702" spans="35:37">
      <c r="AI2702" s="468">
        <v>45074</v>
      </c>
      <c r="AJ2702" s="5" t="s">
        <v>3621</v>
      </c>
      <c r="AK2702" s="5" t="s">
        <v>3625</v>
      </c>
    </row>
    <row r="2703" spans="35:37">
      <c r="AI2703" s="468">
        <v>45075</v>
      </c>
      <c r="AJ2703" s="5" t="s">
        <v>3579</v>
      </c>
      <c r="AK2703" s="5" t="s">
        <v>3627</v>
      </c>
    </row>
    <row r="2704" spans="35:37">
      <c r="AI2704" s="468">
        <v>45076</v>
      </c>
      <c r="AJ2704" s="5" t="s">
        <v>3624</v>
      </c>
      <c r="AK2704" s="5" t="s">
        <v>3618</v>
      </c>
    </row>
    <row r="2705" spans="35:37">
      <c r="AI2705" s="468">
        <v>45077</v>
      </c>
      <c r="AJ2705" s="5" t="s">
        <v>3626</v>
      </c>
      <c r="AK2705" s="5" t="s">
        <v>3620</v>
      </c>
    </row>
    <row r="2706" spans="35:37">
      <c r="AI2706" s="468">
        <v>45078</v>
      </c>
      <c r="AJ2706" s="5" t="s">
        <v>3628</v>
      </c>
      <c r="AK2706" s="5" t="s">
        <v>3622</v>
      </c>
    </row>
    <row r="2707" spans="35:37">
      <c r="AI2707" s="468">
        <v>45079</v>
      </c>
      <c r="AJ2707" s="5" t="s">
        <v>3617</v>
      </c>
      <c r="AK2707" s="5" t="s">
        <v>3623</v>
      </c>
    </row>
    <row r="2708" spans="35:37">
      <c r="AI2708" s="468">
        <v>45080</v>
      </c>
      <c r="AJ2708" s="5" t="s">
        <v>3619</v>
      </c>
      <c r="AK2708" s="5" t="s">
        <v>3625</v>
      </c>
    </row>
    <row r="2709" spans="35:37">
      <c r="AI2709" s="468">
        <v>45081</v>
      </c>
      <c r="AJ2709" s="5" t="s">
        <v>3621</v>
      </c>
      <c r="AK2709" s="5" t="s">
        <v>3627</v>
      </c>
    </row>
    <row r="2710" spans="35:37">
      <c r="AI2710" s="468">
        <v>45082</v>
      </c>
      <c r="AJ2710" s="5" t="s">
        <v>3579</v>
      </c>
      <c r="AK2710" s="5" t="s">
        <v>3618</v>
      </c>
    </row>
    <row r="2711" spans="35:37">
      <c r="AI2711" s="468">
        <v>45083</v>
      </c>
      <c r="AJ2711" s="5" t="s">
        <v>3624</v>
      </c>
      <c r="AK2711" s="5" t="s">
        <v>3620</v>
      </c>
    </row>
    <row r="2712" spans="35:37">
      <c r="AI2712" s="468">
        <v>45084</v>
      </c>
      <c r="AJ2712" s="5" t="s">
        <v>3626</v>
      </c>
      <c r="AK2712" s="5" t="s">
        <v>3622</v>
      </c>
    </row>
    <row r="2713" spans="35:37">
      <c r="AI2713" s="468">
        <v>45085</v>
      </c>
      <c r="AJ2713" s="5" t="s">
        <v>3628</v>
      </c>
      <c r="AK2713" s="5" t="s">
        <v>3623</v>
      </c>
    </row>
    <row r="2714" spans="35:37">
      <c r="AI2714" s="468">
        <v>45086</v>
      </c>
      <c r="AJ2714" s="5" t="s">
        <v>3617</v>
      </c>
      <c r="AK2714" s="5" t="s">
        <v>3625</v>
      </c>
    </row>
    <row r="2715" spans="35:37">
      <c r="AI2715" s="468">
        <v>45087</v>
      </c>
      <c r="AJ2715" s="5" t="s">
        <v>3619</v>
      </c>
      <c r="AK2715" s="5" t="s">
        <v>3627</v>
      </c>
    </row>
    <row r="2716" spans="35:37">
      <c r="AI2716" s="468">
        <v>45088</v>
      </c>
      <c r="AJ2716" s="5" t="s">
        <v>3621</v>
      </c>
      <c r="AK2716" s="5" t="s">
        <v>3618</v>
      </c>
    </row>
    <row r="2717" spans="35:37">
      <c r="AI2717" s="468">
        <v>45089</v>
      </c>
      <c r="AJ2717" s="5" t="s">
        <v>3579</v>
      </c>
      <c r="AK2717" s="5" t="s">
        <v>3620</v>
      </c>
    </row>
    <row r="2718" spans="35:37">
      <c r="AI2718" s="468">
        <v>45090</v>
      </c>
      <c r="AJ2718" s="5" t="s">
        <v>3624</v>
      </c>
      <c r="AK2718" s="5" t="s">
        <v>3622</v>
      </c>
    </row>
    <row r="2719" spans="35:37">
      <c r="AI2719" s="468">
        <v>45091</v>
      </c>
      <c r="AJ2719" s="5" t="s">
        <v>3626</v>
      </c>
      <c r="AK2719" s="5" t="s">
        <v>3623</v>
      </c>
    </row>
    <row r="2720" spans="35:37">
      <c r="AI2720" s="468">
        <v>45092</v>
      </c>
      <c r="AJ2720" s="5" t="s">
        <v>3628</v>
      </c>
      <c r="AK2720" s="5" t="s">
        <v>3625</v>
      </c>
    </row>
    <row r="2721" spans="35:37">
      <c r="AI2721" s="468">
        <v>45093</v>
      </c>
      <c r="AJ2721" s="5" t="s">
        <v>3617</v>
      </c>
      <c r="AK2721" s="5" t="s">
        <v>3627</v>
      </c>
    </row>
    <row r="2722" spans="35:37">
      <c r="AI2722" s="468">
        <v>45094</v>
      </c>
      <c r="AJ2722" s="5" t="s">
        <v>3619</v>
      </c>
      <c r="AK2722" s="5" t="s">
        <v>3618</v>
      </c>
    </row>
    <row r="2723" spans="35:37">
      <c r="AI2723" s="468">
        <v>45095</v>
      </c>
      <c r="AJ2723" s="5" t="s">
        <v>3621</v>
      </c>
      <c r="AK2723" s="5" t="s">
        <v>3623</v>
      </c>
    </row>
    <row r="2724" spans="35:37">
      <c r="AI2724" s="468">
        <v>45096</v>
      </c>
      <c r="AJ2724" s="5" t="s">
        <v>3579</v>
      </c>
      <c r="AK2724" s="5" t="s">
        <v>3625</v>
      </c>
    </row>
    <row r="2725" spans="35:37">
      <c r="AI2725" s="468">
        <v>45097</v>
      </c>
      <c r="AJ2725" s="5" t="s">
        <v>3624</v>
      </c>
      <c r="AK2725" s="5" t="s">
        <v>3627</v>
      </c>
    </row>
    <row r="2726" spans="35:37">
      <c r="AI2726" s="468">
        <v>45098</v>
      </c>
      <c r="AJ2726" s="5" t="s">
        <v>3626</v>
      </c>
      <c r="AK2726" s="5" t="s">
        <v>3618</v>
      </c>
    </row>
    <row r="2727" spans="35:37">
      <c r="AI2727" s="468">
        <v>45099</v>
      </c>
      <c r="AJ2727" s="5" t="s">
        <v>3628</v>
      </c>
      <c r="AK2727" s="5" t="s">
        <v>3620</v>
      </c>
    </row>
    <row r="2728" spans="35:37">
      <c r="AI2728" s="468">
        <v>45100</v>
      </c>
      <c r="AJ2728" s="5" t="s">
        <v>3617</v>
      </c>
      <c r="AK2728" s="5" t="s">
        <v>3622</v>
      </c>
    </row>
    <row r="2729" spans="35:37">
      <c r="AI2729" s="468">
        <v>45101</v>
      </c>
      <c r="AJ2729" s="5" t="s">
        <v>3619</v>
      </c>
      <c r="AK2729" s="5" t="s">
        <v>3623</v>
      </c>
    </row>
    <row r="2730" spans="35:37">
      <c r="AI2730" s="468">
        <v>45102</v>
      </c>
      <c r="AJ2730" s="5" t="s">
        <v>3621</v>
      </c>
      <c r="AK2730" s="5" t="s">
        <v>3625</v>
      </c>
    </row>
    <row r="2731" spans="35:37">
      <c r="AI2731" s="468">
        <v>45103</v>
      </c>
      <c r="AJ2731" s="5" t="s">
        <v>3579</v>
      </c>
      <c r="AK2731" s="5" t="s">
        <v>3627</v>
      </c>
    </row>
    <row r="2732" spans="35:37">
      <c r="AI2732" s="468">
        <v>45104</v>
      </c>
      <c r="AJ2732" s="5" t="s">
        <v>3624</v>
      </c>
      <c r="AK2732" s="5" t="s">
        <v>3618</v>
      </c>
    </row>
    <row r="2733" spans="35:37">
      <c r="AI2733" s="468">
        <v>45105</v>
      </c>
      <c r="AJ2733" s="5" t="s">
        <v>3626</v>
      </c>
      <c r="AK2733" s="5" t="s">
        <v>3620</v>
      </c>
    </row>
    <row r="2734" spans="35:37">
      <c r="AI2734" s="468">
        <v>45106</v>
      </c>
      <c r="AJ2734" s="5" t="s">
        <v>3628</v>
      </c>
      <c r="AK2734" s="5" t="s">
        <v>3622</v>
      </c>
    </row>
    <row r="2735" spans="35:37">
      <c r="AI2735" s="468">
        <v>45107</v>
      </c>
      <c r="AJ2735" s="5" t="s">
        <v>3617</v>
      </c>
      <c r="AK2735" s="5" t="s">
        <v>3623</v>
      </c>
    </row>
    <row r="2736" spans="35:37">
      <c r="AI2736" s="468">
        <v>45108</v>
      </c>
      <c r="AJ2736" s="5" t="s">
        <v>3619</v>
      </c>
      <c r="AK2736" s="5" t="s">
        <v>3625</v>
      </c>
    </row>
    <row r="2737" spans="35:37">
      <c r="AI2737" s="468">
        <v>45109</v>
      </c>
      <c r="AJ2737" s="5" t="s">
        <v>3621</v>
      </c>
      <c r="AK2737" s="5" t="s">
        <v>3627</v>
      </c>
    </row>
    <row r="2738" spans="35:37">
      <c r="AI2738" s="468">
        <v>45110</v>
      </c>
      <c r="AJ2738" s="5" t="s">
        <v>3579</v>
      </c>
      <c r="AK2738" s="5" t="s">
        <v>3618</v>
      </c>
    </row>
    <row r="2739" spans="35:37">
      <c r="AI2739" s="468">
        <v>45111</v>
      </c>
      <c r="AJ2739" s="5" t="s">
        <v>3624</v>
      </c>
      <c r="AK2739" s="5" t="s">
        <v>3620</v>
      </c>
    </row>
    <row r="2740" spans="35:37">
      <c r="AI2740" s="468">
        <v>45112</v>
      </c>
      <c r="AJ2740" s="5" t="s">
        <v>3626</v>
      </c>
      <c r="AK2740" s="5" t="s">
        <v>3622</v>
      </c>
    </row>
    <row r="2741" spans="35:37">
      <c r="AI2741" s="468">
        <v>45113</v>
      </c>
      <c r="AJ2741" s="5" t="s">
        <v>3628</v>
      </c>
      <c r="AK2741" s="5" t="s">
        <v>3623</v>
      </c>
    </row>
    <row r="2742" spans="35:37">
      <c r="AI2742" s="468">
        <v>45114</v>
      </c>
      <c r="AJ2742" s="5" t="s">
        <v>3617</v>
      </c>
      <c r="AK2742" s="5" t="s">
        <v>3625</v>
      </c>
    </row>
    <row r="2743" spans="35:37">
      <c r="AI2743" s="468">
        <v>45115</v>
      </c>
      <c r="AJ2743" s="5" t="s">
        <v>3619</v>
      </c>
      <c r="AK2743" s="5" t="s">
        <v>3627</v>
      </c>
    </row>
    <row r="2744" spans="35:37">
      <c r="AI2744" s="468">
        <v>45116</v>
      </c>
      <c r="AJ2744" s="5" t="s">
        <v>3621</v>
      </c>
      <c r="AK2744" s="5" t="s">
        <v>3618</v>
      </c>
    </row>
    <row r="2745" spans="35:37">
      <c r="AI2745" s="468">
        <v>45117</v>
      </c>
      <c r="AJ2745" s="5" t="s">
        <v>3579</v>
      </c>
      <c r="AK2745" s="5" t="s">
        <v>3620</v>
      </c>
    </row>
    <row r="2746" spans="35:37">
      <c r="AI2746" s="468">
        <v>45118</v>
      </c>
      <c r="AJ2746" s="5" t="s">
        <v>3624</v>
      </c>
      <c r="AK2746" s="5" t="s">
        <v>3622</v>
      </c>
    </row>
    <row r="2747" spans="35:37">
      <c r="AI2747" s="468">
        <v>45119</v>
      </c>
      <c r="AJ2747" s="5" t="s">
        <v>3626</v>
      </c>
      <c r="AK2747" s="5" t="s">
        <v>3623</v>
      </c>
    </row>
    <row r="2748" spans="35:37">
      <c r="AI2748" s="468">
        <v>45120</v>
      </c>
      <c r="AJ2748" s="5" t="s">
        <v>3628</v>
      </c>
      <c r="AK2748" s="5" t="s">
        <v>3625</v>
      </c>
    </row>
    <row r="2749" spans="35:37">
      <c r="AI2749" s="468">
        <v>45121</v>
      </c>
      <c r="AJ2749" s="5" t="s">
        <v>3617</v>
      </c>
      <c r="AK2749" s="5" t="s">
        <v>3627</v>
      </c>
    </row>
    <row r="2750" spans="35:37">
      <c r="AI2750" s="468">
        <v>45122</v>
      </c>
      <c r="AJ2750" s="5" t="s">
        <v>3619</v>
      </c>
      <c r="AK2750" s="5" t="s">
        <v>3618</v>
      </c>
    </row>
    <row r="2751" spans="35:37">
      <c r="AI2751" s="468">
        <v>45123</v>
      </c>
      <c r="AJ2751" s="5" t="s">
        <v>3621</v>
      </c>
      <c r="AK2751" s="5" t="s">
        <v>3620</v>
      </c>
    </row>
    <row r="2752" spans="35:37">
      <c r="AI2752" s="468">
        <v>45124</v>
      </c>
      <c r="AJ2752" s="5" t="s">
        <v>3579</v>
      </c>
      <c r="AK2752" s="5" t="s">
        <v>3622</v>
      </c>
    </row>
    <row r="2753" spans="35:37">
      <c r="AI2753" s="468">
        <v>45125</v>
      </c>
      <c r="AJ2753" s="5" t="s">
        <v>3624</v>
      </c>
      <c r="AK2753" s="5" t="s">
        <v>3625</v>
      </c>
    </row>
    <row r="2754" spans="35:37">
      <c r="AI2754" s="468">
        <v>45126</v>
      </c>
      <c r="AJ2754" s="5" t="s">
        <v>3626</v>
      </c>
      <c r="AK2754" s="5" t="s">
        <v>3627</v>
      </c>
    </row>
    <row r="2755" spans="35:37">
      <c r="AI2755" s="468">
        <v>45127</v>
      </c>
      <c r="AJ2755" s="5" t="s">
        <v>3628</v>
      </c>
      <c r="AK2755" s="5" t="s">
        <v>3618</v>
      </c>
    </row>
    <row r="2756" spans="35:37">
      <c r="AI2756" s="468">
        <v>45128</v>
      </c>
      <c r="AJ2756" s="5" t="s">
        <v>3617</v>
      </c>
      <c r="AK2756" s="5" t="s">
        <v>3620</v>
      </c>
    </row>
    <row r="2757" spans="35:37">
      <c r="AI2757" s="468">
        <v>45129</v>
      </c>
      <c r="AJ2757" s="5" t="s">
        <v>3619</v>
      </c>
      <c r="AK2757" s="5" t="s">
        <v>3622</v>
      </c>
    </row>
    <row r="2758" spans="35:37">
      <c r="AI2758" s="468">
        <v>45130</v>
      </c>
      <c r="AJ2758" s="5" t="s">
        <v>3621</v>
      </c>
      <c r="AK2758" s="5" t="s">
        <v>3623</v>
      </c>
    </row>
    <row r="2759" spans="35:37">
      <c r="AI2759" s="468">
        <v>45131</v>
      </c>
      <c r="AJ2759" s="5" t="s">
        <v>3579</v>
      </c>
      <c r="AK2759" s="5" t="s">
        <v>3625</v>
      </c>
    </row>
    <row r="2760" spans="35:37">
      <c r="AI2760" s="468">
        <v>45132</v>
      </c>
      <c r="AJ2760" s="5" t="s">
        <v>3624</v>
      </c>
      <c r="AK2760" s="5" t="s">
        <v>3627</v>
      </c>
    </row>
    <row r="2761" spans="35:37">
      <c r="AI2761" s="468">
        <v>45133</v>
      </c>
      <c r="AJ2761" s="5" t="s">
        <v>3626</v>
      </c>
      <c r="AK2761" s="5" t="s">
        <v>3618</v>
      </c>
    </row>
    <row r="2762" spans="35:37">
      <c r="AI2762" s="468">
        <v>45134</v>
      </c>
      <c r="AJ2762" s="5" t="s">
        <v>3628</v>
      </c>
      <c r="AK2762" s="5" t="s">
        <v>3620</v>
      </c>
    </row>
    <row r="2763" spans="35:37">
      <c r="AI2763" s="468">
        <v>45135</v>
      </c>
      <c r="AJ2763" s="5" t="s">
        <v>3617</v>
      </c>
      <c r="AK2763" s="5" t="s">
        <v>3622</v>
      </c>
    </row>
    <row r="2764" spans="35:37">
      <c r="AI2764" s="468">
        <v>45136</v>
      </c>
      <c r="AJ2764" s="5" t="s">
        <v>3619</v>
      </c>
      <c r="AK2764" s="5" t="s">
        <v>3623</v>
      </c>
    </row>
    <row r="2765" spans="35:37">
      <c r="AI2765" s="468">
        <v>45137</v>
      </c>
      <c r="AJ2765" s="5" t="s">
        <v>3621</v>
      </c>
      <c r="AK2765" s="5" t="s">
        <v>3625</v>
      </c>
    </row>
    <row r="2766" spans="35:37">
      <c r="AI2766" s="468">
        <v>45138</v>
      </c>
      <c r="AJ2766" s="5" t="s">
        <v>3579</v>
      </c>
      <c r="AK2766" s="5" t="s">
        <v>3627</v>
      </c>
    </row>
    <row r="2767" spans="35:37">
      <c r="AI2767" s="468">
        <v>45139</v>
      </c>
      <c r="AJ2767" s="5" t="s">
        <v>3624</v>
      </c>
      <c r="AK2767" s="5" t="s">
        <v>3618</v>
      </c>
    </row>
    <row r="2768" spans="35:37">
      <c r="AI2768" s="468">
        <v>45140</v>
      </c>
      <c r="AJ2768" s="5" t="s">
        <v>3626</v>
      </c>
      <c r="AK2768" s="5" t="s">
        <v>3620</v>
      </c>
    </row>
    <row r="2769" spans="35:37">
      <c r="AI2769" s="468">
        <v>45141</v>
      </c>
      <c r="AJ2769" s="5" t="s">
        <v>3628</v>
      </c>
      <c r="AK2769" s="5" t="s">
        <v>3622</v>
      </c>
    </row>
    <row r="2770" spans="35:37">
      <c r="AI2770" s="468">
        <v>45142</v>
      </c>
      <c r="AJ2770" s="5" t="s">
        <v>3617</v>
      </c>
      <c r="AK2770" s="5" t="s">
        <v>3623</v>
      </c>
    </row>
    <row r="2771" spans="35:37">
      <c r="AI2771" s="468">
        <v>45143</v>
      </c>
      <c r="AJ2771" s="5" t="s">
        <v>3619</v>
      </c>
      <c r="AK2771" s="5" t="s">
        <v>3625</v>
      </c>
    </row>
    <row r="2772" spans="35:37">
      <c r="AI2772" s="468">
        <v>45144</v>
      </c>
      <c r="AJ2772" s="5" t="s">
        <v>3621</v>
      </c>
      <c r="AK2772" s="5" t="s">
        <v>3627</v>
      </c>
    </row>
    <row r="2773" spans="35:37">
      <c r="AI2773" s="468">
        <v>45145</v>
      </c>
      <c r="AJ2773" s="5" t="s">
        <v>3579</v>
      </c>
      <c r="AK2773" s="5" t="s">
        <v>3618</v>
      </c>
    </row>
    <row r="2774" spans="35:37">
      <c r="AI2774" s="468">
        <v>45146</v>
      </c>
      <c r="AJ2774" s="5" t="s">
        <v>3624</v>
      </c>
      <c r="AK2774" s="5" t="s">
        <v>3620</v>
      </c>
    </row>
    <row r="2775" spans="35:37">
      <c r="AI2775" s="468">
        <v>45147</v>
      </c>
      <c r="AJ2775" s="5" t="s">
        <v>3626</v>
      </c>
      <c r="AK2775" s="5" t="s">
        <v>3622</v>
      </c>
    </row>
    <row r="2776" spans="35:37">
      <c r="AI2776" s="468">
        <v>45148</v>
      </c>
      <c r="AJ2776" s="5" t="s">
        <v>3628</v>
      </c>
      <c r="AK2776" s="5" t="s">
        <v>3623</v>
      </c>
    </row>
    <row r="2777" spans="35:37">
      <c r="AI2777" s="468">
        <v>45149</v>
      </c>
      <c r="AJ2777" s="5" t="s">
        <v>3617</v>
      </c>
      <c r="AK2777" s="5" t="s">
        <v>3625</v>
      </c>
    </row>
    <row r="2778" spans="35:37">
      <c r="AI2778" s="468">
        <v>45150</v>
      </c>
      <c r="AJ2778" s="5" t="s">
        <v>3619</v>
      </c>
      <c r="AK2778" s="5" t="s">
        <v>3627</v>
      </c>
    </row>
    <row r="2779" spans="35:37">
      <c r="AI2779" s="468">
        <v>45151</v>
      </c>
      <c r="AJ2779" s="5" t="s">
        <v>3621</v>
      </c>
      <c r="AK2779" s="5" t="s">
        <v>3618</v>
      </c>
    </row>
    <row r="2780" spans="35:37">
      <c r="AI2780" s="468">
        <v>45152</v>
      </c>
      <c r="AJ2780" s="5" t="s">
        <v>3579</v>
      </c>
      <c r="AK2780" s="5" t="s">
        <v>3620</v>
      </c>
    </row>
    <row r="2781" spans="35:37">
      <c r="AI2781" s="468">
        <v>45153</v>
      </c>
      <c r="AJ2781" s="5" t="s">
        <v>3624</v>
      </c>
      <c r="AK2781" s="5" t="s">
        <v>3622</v>
      </c>
    </row>
    <row r="2782" spans="35:37">
      <c r="AI2782" s="468">
        <v>45154</v>
      </c>
      <c r="AJ2782" s="5" t="s">
        <v>3626</v>
      </c>
      <c r="AK2782" s="5" t="s">
        <v>3627</v>
      </c>
    </row>
    <row r="2783" spans="35:37">
      <c r="AI2783" s="468">
        <v>45155</v>
      </c>
      <c r="AJ2783" s="5" t="s">
        <v>3628</v>
      </c>
      <c r="AK2783" s="5" t="s">
        <v>3618</v>
      </c>
    </row>
    <row r="2784" spans="35:37">
      <c r="AI2784" s="468">
        <v>45156</v>
      </c>
      <c r="AJ2784" s="5" t="s">
        <v>3617</v>
      </c>
      <c r="AK2784" s="5" t="s">
        <v>3620</v>
      </c>
    </row>
    <row r="2785" spans="35:37">
      <c r="AI2785" s="468">
        <v>45157</v>
      </c>
      <c r="AJ2785" s="5" t="s">
        <v>3619</v>
      </c>
      <c r="AK2785" s="5" t="s">
        <v>3622</v>
      </c>
    </row>
    <row r="2786" spans="35:37">
      <c r="AI2786" s="468">
        <v>45158</v>
      </c>
      <c r="AJ2786" s="5" t="s">
        <v>3621</v>
      </c>
      <c r="AK2786" s="5" t="s">
        <v>3623</v>
      </c>
    </row>
    <row r="2787" spans="35:37">
      <c r="AI2787" s="468">
        <v>45159</v>
      </c>
      <c r="AJ2787" s="5" t="s">
        <v>3579</v>
      </c>
      <c r="AK2787" s="5" t="s">
        <v>3625</v>
      </c>
    </row>
    <row r="2788" spans="35:37">
      <c r="AI2788" s="468">
        <v>45160</v>
      </c>
      <c r="AJ2788" s="5" t="s">
        <v>3624</v>
      </c>
      <c r="AK2788" s="5" t="s">
        <v>3627</v>
      </c>
    </row>
    <row r="2789" spans="35:37">
      <c r="AI2789" s="468">
        <v>45161</v>
      </c>
      <c r="AJ2789" s="5" t="s">
        <v>3626</v>
      </c>
      <c r="AK2789" s="5" t="s">
        <v>3618</v>
      </c>
    </row>
    <row r="2790" spans="35:37">
      <c r="AI2790" s="468">
        <v>45162</v>
      </c>
      <c r="AJ2790" s="5" t="s">
        <v>3628</v>
      </c>
      <c r="AK2790" s="5" t="s">
        <v>3620</v>
      </c>
    </row>
    <row r="2791" spans="35:37">
      <c r="AI2791" s="468">
        <v>45163</v>
      </c>
      <c r="AJ2791" s="5" t="s">
        <v>3617</v>
      </c>
      <c r="AK2791" s="5" t="s">
        <v>3622</v>
      </c>
    </row>
    <row r="2792" spans="35:37">
      <c r="AI2792" s="468">
        <v>45164</v>
      </c>
      <c r="AJ2792" s="5" t="s">
        <v>3619</v>
      </c>
      <c r="AK2792" s="5" t="s">
        <v>3623</v>
      </c>
    </row>
    <row r="2793" spans="35:37">
      <c r="AI2793" s="468">
        <v>45165</v>
      </c>
      <c r="AJ2793" s="5" t="s">
        <v>3621</v>
      </c>
      <c r="AK2793" s="5" t="s">
        <v>3625</v>
      </c>
    </row>
    <row r="2794" spans="35:37">
      <c r="AI2794" s="468">
        <v>45166</v>
      </c>
      <c r="AJ2794" s="5" t="s">
        <v>3579</v>
      </c>
      <c r="AK2794" s="5" t="s">
        <v>3627</v>
      </c>
    </row>
    <row r="2795" spans="35:37">
      <c r="AI2795" s="468">
        <v>45167</v>
      </c>
      <c r="AJ2795" s="5" t="s">
        <v>3624</v>
      </c>
      <c r="AK2795" s="5" t="s">
        <v>3618</v>
      </c>
    </row>
    <row r="2796" spans="35:37">
      <c r="AI2796" s="468">
        <v>45168</v>
      </c>
      <c r="AJ2796" s="5" t="s">
        <v>3626</v>
      </c>
      <c r="AK2796" s="5" t="s">
        <v>3620</v>
      </c>
    </row>
    <row r="2797" spans="35:37">
      <c r="AI2797" s="468">
        <v>45169</v>
      </c>
      <c r="AJ2797" s="5" t="s">
        <v>3628</v>
      </c>
      <c r="AK2797" s="5" t="s">
        <v>3622</v>
      </c>
    </row>
    <row r="2798" spans="35:37">
      <c r="AI2798" s="468">
        <v>45170</v>
      </c>
      <c r="AJ2798" s="5" t="s">
        <v>3617</v>
      </c>
      <c r="AK2798" s="5" t="s">
        <v>3623</v>
      </c>
    </row>
    <row r="2799" spans="35:37">
      <c r="AI2799" s="468">
        <v>45171</v>
      </c>
      <c r="AJ2799" s="5" t="s">
        <v>3619</v>
      </c>
      <c r="AK2799" s="5" t="s">
        <v>3625</v>
      </c>
    </row>
    <row r="2800" spans="35:37">
      <c r="AI2800" s="468">
        <v>45172</v>
      </c>
      <c r="AJ2800" s="5" t="s">
        <v>3621</v>
      </c>
      <c r="AK2800" s="5" t="s">
        <v>3627</v>
      </c>
    </row>
    <row r="2801" spans="35:37">
      <c r="AI2801" s="468">
        <v>45173</v>
      </c>
      <c r="AJ2801" s="5" t="s">
        <v>3579</v>
      </c>
      <c r="AK2801" s="5" t="s">
        <v>3618</v>
      </c>
    </row>
    <row r="2802" spans="35:37">
      <c r="AI2802" s="468">
        <v>45174</v>
      </c>
      <c r="AJ2802" s="5" t="s">
        <v>3624</v>
      </c>
      <c r="AK2802" s="5" t="s">
        <v>3620</v>
      </c>
    </row>
    <row r="2803" spans="35:37">
      <c r="AI2803" s="468">
        <v>45175</v>
      </c>
      <c r="AJ2803" s="5" t="s">
        <v>3626</v>
      </c>
      <c r="AK2803" s="5" t="s">
        <v>3622</v>
      </c>
    </row>
    <row r="2804" spans="35:37">
      <c r="AI2804" s="468">
        <v>45176</v>
      </c>
      <c r="AJ2804" s="5" t="s">
        <v>3628</v>
      </c>
      <c r="AK2804" s="5" t="s">
        <v>3623</v>
      </c>
    </row>
    <row r="2805" spans="35:37">
      <c r="AI2805" s="468">
        <v>45177</v>
      </c>
      <c r="AJ2805" s="5" t="s">
        <v>3617</v>
      </c>
      <c r="AK2805" s="5" t="s">
        <v>3625</v>
      </c>
    </row>
    <row r="2806" spans="35:37">
      <c r="AI2806" s="468">
        <v>45178</v>
      </c>
      <c r="AJ2806" s="5" t="s">
        <v>3619</v>
      </c>
      <c r="AK2806" s="5" t="s">
        <v>3627</v>
      </c>
    </row>
    <row r="2807" spans="35:37">
      <c r="AI2807" s="468">
        <v>45179</v>
      </c>
      <c r="AJ2807" s="5" t="s">
        <v>3621</v>
      </c>
      <c r="AK2807" s="5" t="s">
        <v>3618</v>
      </c>
    </row>
    <row r="2808" spans="35:37">
      <c r="AI2808" s="468">
        <v>45180</v>
      </c>
      <c r="AJ2808" s="5" t="s">
        <v>3579</v>
      </c>
      <c r="AK2808" s="5" t="s">
        <v>3620</v>
      </c>
    </row>
    <row r="2809" spans="35:37">
      <c r="AI2809" s="468">
        <v>45181</v>
      </c>
      <c r="AJ2809" s="5" t="s">
        <v>3624</v>
      </c>
      <c r="AK2809" s="5" t="s">
        <v>3622</v>
      </c>
    </row>
    <row r="2810" spans="35:37">
      <c r="AI2810" s="468">
        <v>45182</v>
      </c>
      <c r="AJ2810" s="5" t="s">
        <v>3626</v>
      </c>
      <c r="AK2810" s="5" t="s">
        <v>3623</v>
      </c>
    </row>
    <row r="2811" spans="35:37">
      <c r="AI2811" s="468">
        <v>45183</v>
      </c>
      <c r="AJ2811" s="5" t="s">
        <v>3628</v>
      </c>
      <c r="AK2811" s="5" t="s">
        <v>3625</v>
      </c>
    </row>
    <row r="2812" spans="35:37">
      <c r="AI2812" s="468">
        <v>45184</v>
      </c>
      <c r="AJ2812" s="5" t="s">
        <v>3617</v>
      </c>
      <c r="AK2812" s="5" t="s">
        <v>3618</v>
      </c>
    </row>
    <row r="2813" spans="35:37">
      <c r="AI2813" s="468">
        <v>45185</v>
      </c>
      <c r="AJ2813" s="5" t="s">
        <v>3619</v>
      </c>
      <c r="AK2813" s="5" t="s">
        <v>3620</v>
      </c>
    </row>
    <row r="2814" spans="35:37">
      <c r="AI2814" s="468">
        <v>45186</v>
      </c>
      <c r="AJ2814" s="5" t="s">
        <v>3621</v>
      </c>
      <c r="AK2814" s="5" t="s">
        <v>3622</v>
      </c>
    </row>
    <row r="2815" spans="35:37">
      <c r="AI2815" s="468">
        <v>45187</v>
      </c>
      <c r="AJ2815" s="5" t="s">
        <v>3579</v>
      </c>
      <c r="AK2815" s="5" t="s">
        <v>3623</v>
      </c>
    </row>
    <row r="2816" spans="35:37">
      <c r="AI2816" s="468">
        <v>45188</v>
      </c>
      <c r="AJ2816" s="5" t="s">
        <v>3624</v>
      </c>
      <c r="AK2816" s="5" t="s">
        <v>3625</v>
      </c>
    </row>
    <row r="2817" spans="35:37">
      <c r="AI2817" s="468">
        <v>45189</v>
      </c>
      <c r="AJ2817" s="5" t="s">
        <v>3626</v>
      </c>
      <c r="AK2817" s="5" t="s">
        <v>3627</v>
      </c>
    </row>
    <row r="2818" spans="35:37">
      <c r="AI2818" s="468">
        <v>45190</v>
      </c>
      <c r="AJ2818" s="5" t="s">
        <v>3628</v>
      </c>
      <c r="AK2818" s="5" t="s">
        <v>3618</v>
      </c>
    </row>
    <row r="2819" spans="35:37">
      <c r="AI2819" s="468">
        <v>45191</v>
      </c>
      <c r="AJ2819" s="5" t="s">
        <v>3617</v>
      </c>
      <c r="AK2819" s="5" t="s">
        <v>3620</v>
      </c>
    </row>
    <row r="2820" spans="35:37">
      <c r="AI2820" s="468">
        <v>45192</v>
      </c>
      <c r="AJ2820" s="5" t="s">
        <v>3619</v>
      </c>
      <c r="AK2820" s="5" t="s">
        <v>3622</v>
      </c>
    </row>
    <row r="2821" spans="35:37">
      <c r="AI2821" s="468">
        <v>45193</v>
      </c>
      <c r="AJ2821" s="5" t="s">
        <v>3621</v>
      </c>
      <c r="AK2821" s="5" t="s">
        <v>3623</v>
      </c>
    </row>
    <row r="2822" spans="35:37">
      <c r="AI2822" s="468">
        <v>45194</v>
      </c>
      <c r="AJ2822" s="5" t="s">
        <v>3579</v>
      </c>
      <c r="AK2822" s="5" t="s">
        <v>3625</v>
      </c>
    </row>
    <row r="2823" spans="35:37">
      <c r="AI2823" s="468">
        <v>45195</v>
      </c>
      <c r="AJ2823" s="5" t="s">
        <v>3624</v>
      </c>
      <c r="AK2823" s="5" t="s">
        <v>3627</v>
      </c>
    </row>
    <row r="2824" spans="35:37">
      <c r="AI2824" s="468">
        <v>45196</v>
      </c>
      <c r="AJ2824" s="5" t="s">
        <v>3626</v>
      </c>
      <c r="AK2824" s="5" t="s">
        <v>3618</v>
      </c>
    </row>
    <row r="2825" spans="35:37">
      <c r="AI2825" s="468">
        <v>45197</v>
      </c>
      <c r="AJ2825" s="5" t="s">
        <v>3628</v>
      </c>
      <c r="AK2825" s="5" t="s">
        <v>3620</v>
      </c>
    </row>
    <row r="2826" spans="35:37">
      <c r="AI2826" s="468">
        <v>45198</v>
      </c>
      <c r="AJ2826" s="5" t="s">
        <v>3617</v>
      </c>
      <c r="AK2826" s="5" t="s">
        <v>3622</v>
      </c>
    </row>
    <row r="2827" spans="35:37">
      <c r="AI2827" s="468">
        <v>45199</v>
      </c>
      <c r="AJ2827" s="5" t="s">
        <v>3619</v>
      </c>
      <c r="AK2827" s="5" t="s">
        <v>3623</v>
      </c>
    </row>
    <row r="2828" spans="35:37">
      <c r="AI2828" s="468">
        <v>45200</v>
      </c>
      <c r="AJ2828" s="5" t="s">
        <v>3621</v>
      </c>
      <c r="AK2828" s="5" t="s">
        <v>3625</v>
      </c>
    </row>
    <row r="2829" spans="35:37">
      <c r="AI2829" s="468">
        <v>45201</v>
      </c>
      <c r="AJ2829" s="5" t="s">
        <v>3579</v>
      </c>
      <c r="AK2829" s="5" t="s">
        <v>3627</v>
      </c>
    </row>
    <row r="2830" spans="35:37">
      <c r="AI2830" s="468">
        <v>45202</v>
      </c>
      <c r="AJ2830" s="5" t="s">
        <v>3624</v>
      </c>
      <c r="AK2830" s="5" t="s">
        <v>3618</v>
      </c>
    </row>
    <row r="2831" spans="35:37">
      <c r="AI2831" s="468">
        <v>45203</v>
      </c>
      <c r="AJ2831" s="5" t="s">
        <v>3626</v>
      </c>
      <c r="AK2831" s="5" t="s">
        <v>3620</v>
      </c>
    </row>
    <row r="2832" spans="35:37">
      <c r="AI2832" s="468">
        <v>45204</v>
      </c>
      <c r="AJ2832" s="5" t="s">
        <v>3628</v>
      </c>
      <c r="AK2832" s="5" t="s">
        <v>3622</v>
      </c>
    </row>
    <row r="2833" spans="35:37">
      <c r="AI2833" s="468">
        <v>45205</v>
      </c>
      <c r="AJ2833" s="5" t="s">
        <v>3617</v>
      </c>
      <c r="AK2833" s="5" t="s">
        <v>3623</v>
      </c>
    </row>
    <row r="2834" spans="35:37">
      <c r="AI2834" s="468">
        <v>45206</v>
      </c>
      <c r="AJ2834" s="5" t="s">
        <v>3619</v>
      </c>
      <c r="AK2834" s="5" t="s">
        <v>3625</v>
      </c>
    </row>
    <row r="2835" spans="35:37">
      <c r="AI2835" s="468">
        <v>45207</v>
      </c>
      <c r="AJ2835" s="5" t="s">
        <v>3621</v>
      </c>
      <c r="AK2835" s="5" t="s">
        <v>3627</v>
      </c>
    </row>
    <row r="2836" spans="35:37">
      <c r="AI2836" s="468">
        <v>45208</v>
      </c>
      <c r="AJ2836" s="5" t="s">
        <v>3579</v>
      </c>
      <c r="AK2836" s="5" t="s">
        <v>3618</v>
      </c>
    </row>
    <row r="2837" spans="35:37">
      <c r="AI2837" s="468">
        <v>45209</v>
      </c>
      <c r="AJ2837" s="5" t="s">
        <v>3624</v>
      </c>
      <c r="AK2837" s="5" t="s">
        <v>3620</v>
      </c>
    </row>
    <row r="2838" spans="35:37">
      <c r="AI2838" s="468">
        <v>45210</v>
      </c>
      <c r="AJ2838" s="5" t="s">
        <v>3626</v>
      </c>
      <c r="AK2838" s="5" t="s">
        <v>3622</v>
      </c>
    </row>
    <row r="2839" spans="35:37">
      <c r="AI2839" s="468">
        <v>45211</v>
      </c>
      <c r="AJ2839" s="5" t="s">
        <v>3628</v>
      </c>
      <c r="AK2839" s="5" t="s">
        <v>3623</v>
      </c>
    </row>
    <row r="2840" spans="35:37">
      <c r="AI2840" s="468">
        <v>45212</v>
      </c>
      <c r="AJ2840" s="5" t="s">
        <v>3617</v>
      </c>
      <c r="AK2840" s="5" t="s">
        <v>3625</v>
      </c>
    </row>
    <row r="2841" spans="35:37">
      <c r="AI2841" s="468">
        <v>45213</v>
      </c>
      <c r="AJ2841" s="5" t="s">
        <v>3619</v>
      </c>
      <c r="AK2841" s="5" t="s">
        <v>3627</v>
      </c>
    </row>
    <row r="2842" spans="35:37">
      <c r="AI2842" s="468">
        <v>45214</v>
      </c>
      <c r="AJ2842" s="5" t="s">
        <v>3621</v>
      </c>
      <c r="AK2842" s="5" t="s">
        <v>3620</v>
      </c>
    </row>
    <row r="2843" spans="35:37">
      <c r="AI2843" s="468">
        <v>45215</v>
      </c>
      <c r="AJ2843" s="5" t="s">
        <v>3579</v>
      </c>
      <c r="AK2843" s="5" t="s">
        <v>3622</v>
      </c>
    </row>
    <row r="2844" spans="35:37">
      <c r="AI2844" s="468">
        <v>45216</v>
      </c>
      <c r="AJ2844" s="5" t="s">
        <v>3624</v>
      </c>
      <c r="AK2844" s="5" t="s">
        <v>3623</v>
      </c>
    </row>
    <row r="2845" spans="35:37">
      <c r="AI2845" s="468">
        <v>45217</v>
      </c>
      <c r="AJ2845" s="5" t="s">
        <v>3626</v>
      </c>
      <c r="AK2845" s="5" t="s">
        <v>3625</v>
      </c>
    </row>
    <row r="2846" spans="35:37">
      <c r="AI2846" s="468">
        <v>45218</v>
      </c>
      <c r="AJ2846" s="5" t="s">
        <v>3628</v>
      </c>
      <c r="AK2846" s="5" t="s">
        <v>3627</v>
      </c>
    </row>
    <row r="2847" spans="35:37">
      <c r="AI2847" s="468">
        <v>45219</v>
      </c>
      <c r="AJ2847" s="5" t="s">
        <v>3617</v>
      </c>
      <c r="AK2847" s="5" t="s">
        <v>3618</v>
      </c>
    </row>
    <row r="2848" spans="35:37">
      <c r="AI2848" s="468">
        <v>45220</v>
      </c>
      <c r="AJ2848" s="5" t="s">
        <v>3619</v>
      </c>
      <c r="AK2848" s="5" t="s">
        <v>3620</v>
      </c>
    </row>
    <row r="2849" spans="35:37">
      <c r="AI2849" s="468">
        <v>45221</v>
      </c>
      <c r="AJ2849" s="5" t="s">
        <v>3621</v>
      </c>
      <c r="AK2849" s="5" t="s">
        <v>3622</v>
      </c>
    </row>
    <row r="2850" spans="35:37">
      <c r="AI2850" s="468">
        <v>45222</v>
      </c>
      <c r="AJ2850" s="5" t="s">
        <v>3579</v>
      </c>
      <c r="AK2850" s="5" t="s">
        <v>3623</v>
      </c>
    </row>
    <row r="2851" spans="35:37">
      <c r="AI2851" s="468">
        <v>45223</v>
      </c>
      <c r="AJ2851" s="5" t="s">
        <v>3624</v>
      </c>
      <c r="AK2851" s="5" t="s">
        <v>3625</v>
      </c>
    </row>
    <row r="2852" spans="35:37">
      <c r="AI2852" s="468">
        <v>45224</v>
      </c>
      <c r="AJ2852" s="5" t="s">
        <v>3626</v>
      </c>
      <c r="AK2852" s="5" t="s">
        <v>3627</v>
      </c>
    </row>
    <row r="2853" spans="35:37">
      <c r="AI2853" s="468">
        <v>45225</v>
      </c>
      <c r="AJ2853" s="5" t="s">
        <v>3628</v>
      </c>
      <c r="AK2853" s="5" t="s">
        <v>3618</v>
      </c>
    </row>
    <row r="2854" spans="35:37">
      <c r="AI2854" s="468">
        <v>45226</v>
      </c>
      <c r="AJ2854" s="5" t="s">
        <v>3617</v>
      </c>
      <c r="AK2854" s="5" t="s">
        <v>3620</v>
      </c>
    </row>
    <row r="2855" spans="35:37">
      <c r="AI2855" s="468">
        <v>45227</v>
      </c>
      <c r="AJ2855" s="5" t="s">
        <v>3619</v>
      </c>
      <c r="AK2855" s="5" t="s">
        <v>3622</v>
      </c>
    </row>
    <row r="2856" spans="35:37">
      <c r="AI2856" s="468">
        <v>45228</v>
      </c>
      <c r="AJ2856" s="5" t="s">
        <v>3621</v>
      </c>
      <c r="AK2856" s="5" t="s">
        <v>3623</v>
      </c>
    </row>
    <row r="2857" spans="35:37">
      <c r="AI2857" s="468">
        <v>45229</v>
      </c>
      <c r="AJ2857" s="5" t="s">
        <v>3579</v>
      </c>
      <c r="AK2857" s="5" t="s">
        <v>3625</v>
      </c>
    </row>
    <row r="2858" spans="35:37">
      <c r="AI2858" s="468">
        <v>45230</v>
      </c>
      <c r="AJ2858" s="5" t="s">
        <v>3624</v>
      </c>
      <c r="AK2858" s="5" t="s">
        <v>3627</v>
      </c>
    </row>
    <row r="2859" spans="35:37">
      <c r="AI2859" s="468">
        <v>45231</v>
      </c>
      <c r="AJ2859" s="5" t="s">
        <v>3626</v>
      </c>
      <c r="AK2859" s="5" t="s">
        <v>3618</v>
      </c>
    </row>
    <row r="2860" spans="35:37">
      <c r="AI2860" s="468">
        <v>45232</v>
      </c>
      <c r="AJ2860" s="5" t="s">
        <v>3628</v>
      </c>
      <c r="AK2860" s="5" t="s">
        <v>3620</v>
      </c>
    </row>
    <row r="2861" spans="35:37">
      <c r="AI2861" s="468">
        <v>45233</v>
      </c>
      <c r="AJ2861" s="5" t="s">
        <v>3617</v>
      </c>
      <c r="AK2861" s="5" t="s">
        <v>3622</v>
      </c>
    </row>
    <row r="2862" spans="35:37">
      <c r="AI2862" s="468">
        <v>45234</v>
      </c>
      <c r="AJ2862" s="5" t="s">
        <v>3619</v>
      </c>
      <c r="AK2862" s="5" t="s">
        <v>3623</v>
      </c>
    </row>
    <row r="2863" spans="35:37">
      <c r="AI2863" s="468">
        <v>45235</v>
      </c>
      <c r="AJ2863" s="5" t="s">
        <v>3621</v>
      </c>
      <c r="AK2863" s="5" t="s">
        <v>3625</v>
      </c>
    </row>
    <row r="2864" spans="35:37">
      <c r="AI2864" s="468">
        <v>45236</v>
      </c>
      <c r="AJ2864" s="5" t="s">
        <v>3579</v>
      </c>
      <c r="AK2864" s="5" t="s">
        <v>3627</v>
      </c>
    </row>
    <row r="2865" spans="35:37">
      <c r="AI2865" s="468">
        <v>45237</v>
      </c>
      <c r="AJ2865" s="5" t="s">
        <v>3624</v>
      </c>
      <c r="AK2865" s="5" t="s">
        <v>3618</v>
      </c>
    </row>
    <row r="2866" spans="35:37">
      <c r="AI2866" s="468">
        <v>45238</v>
      </c>
      <c r="AJ2866" s="5" t="s">
        <v>3626</v>
      </c>
      <c r="AK2866" s="5" t="s">
        <v>3620</v>
      </c>
    </row>
    <row r="2867" spans="35:37">
      <c r="AI2867" s="468">
        <v>45239</v>
      </c>
      <c r="AJ2867" s="5" t="s">
        <v>3628</v>
      </c>
      <c r="AK2867" s="5" t="s">
        <v>3622</v>
      </c>
    </row>
    <row r="2868" spans="35:37">
      <c r="AI2868" s="468">
        <v>45240</v>
      </c>
      <c r="AJ2868" s="5" t="s">
        <v>3617</v>
      </c>
      <c r="AK2868" s="5" t="s">
        <v>3623</v>
      </c>
    </row>
    <row r="2869" spans="35:37">
      <c r="AI2869" s="468">
        <v>45241</v>
      </c>
      <c r="AJ2869" s="5" t="s">
        <v>3619</v>
      </c>
      <c r="AK2869" s="5" t="s">
        <v>3625</v>
      </c>
    </row>
    <row r="2870" spans="35:37">
      <c r="AI2870" s="468">
        <v>45242</v>
      </c>
      <c r="AJ2870" s="5" t="s">
        <v>3621</v>
      </c>
      <c r="AK2870" s="5" t="s">
        <v>3627</v>
      </c>
    </row>
    <row r="2871" spans="35:37">
      <c r="AI2871" s="468">
        <v>45243</v>
      </c>
      <c r="AJ2871" s="5" t="s">
        <v>3579</v>
      </c>
      <c r="AK2871" s="5" t="s">
        <v>3622</v>
      </c>
    </row>
    <row r="2872" spans="35:37">
      <c r="AI2872" s="468">
        <v>45244</v>
      </c>
      <c r="AJ2872" s="5" t="s">
        <v>3624</v>
      </c>
      <c r="AK2872" s="5" t="s">
        <v>3623</v>
      </c>
    </row>
    <row r="2873" spans="35:37">
      <c r="AI2873" s="468">
        <v>45245</v>
      </c>
      <c r="AJ2873" s="5" t="s">
        <v>3626</v>
      </c>
      <c r="AK2873" s="5" t="s">
        <v>3625</v>
      </c>
    </row>
    <row r="2874" spans="35:37">
      <c r="AI2874" s="468">
        <v>45246</v>
      </c>
      <c r="AJ2874" s="5" t="s">
        <v>3628</v>
      </c>
      <c r="AK2874" s="5" t="s">
        <v>3627</v>
      </c>
    </row>
    <row r="2875" spans="35:37">
      <c r="AI2875" s="468">
        <v>45247</v>
      </c>
      <c r="AJ2875" s="5" t="s">
        <v>3617</v>
      </c>
      <c r="AK2875" s="5" t="s">
        <v>3618</v>
      </c>
    </row>
    <row r="2876" spans="35:37">
      <c r="AI2876" s="468">
        <v>45248</v>
      </c>
      <c r="AJ2876" s="5" t="s">
        <v>3619</v>
      </c>
      <c r="AK2876" s="5" t="s">
        <v>3620</v>
      </c>
    </row>
    <row r="2877" spans="35:37">
      <c r="AI2877" s="468">
        <v>45249</v>
      </c>
      <c r="AJ2877" s="5" t="s">
        <v>3621</v>
      </c>
      <c r="AK2877" s="5" t="s">
        <v>3622</v>
      </c>
    </row>
    <row r="2878" spans="35:37">
      <c r="AI2878" s="468">
        <v>45250</v>
      </c>
      <c r="AJ2878" s="5" t="s">
        <v>3579</v>
      </c>
      <c r="AK2878" s="5" t="s">
        <v>3623</v>
      </c>
    </row>
    <row r="2879" spans="35:37">
      <c r="AI2879" s="468">
        <v>45251</v>
      </c>
      <c r="AJ2879" s="5" t="s">
        <v>3624</v>
      </c>
      <c r="AK2879" s="5" t="s">
        <v>3625</v>
      </c>
    </row>
    <row r="2880" spans="35:37">
      <c r="AI2880" s="468">
        <v>45252</v>
      </c>
      <c r="AJ2880" s="5" t="s">
        <v>3626</v>
      </c>
      <c r="AK2880" s="5" t="s">
        <v>3627</v>
      </c>
    </row>
    <row r="2881" spans="35:37">
      <c r="AI2881" s="468">
        <v>45253</v>
      </c>
      <c r="AJ2881" s="5" t="s">
        <v>3628</v>
      </c>
      <c r="AK2881" s="5" t="s">
        <v>3618</v>
      </c>
    </row>
    <row r="2882" spans="35:37">
      <c r="AI2882" s="468">
        <v>45254</v>
      </c>
      <c r="AJ2882" s="5" t="s">
        <v>3617</v>
      </c>
      <c r="AK2882" s="5" t="s">
        <v>3620</v>
      </c>
    </row>
    <row r="2883" spans="35:37">
      <c r="AI2883" s="468">
        <v>45255</v>
      </c>
      <c r="AJ2883" s="5" t="s">
        <v>3619</v>
      </c>
      <c r="AK2883" s="5" t="s">
        <v>3622</v>
      </c>
    </row>
    <row r="2884" spans="35:37">
      <c r="AI2884" s="468">
        <v>45256</v>
      </c>
      <c r="AJ2884" s="5" t="s">
        <v>3621</v>
      </c>
      <c r="AK2884" s="5" t="s">
        <v>3623</v>
      </c>
    </row>
    <row r="2885" spans="35:37">
      <c r="AI2885" s="468">
        <v>45257</v>
      </c>
      <c r="AJ2885" s="5" t="s">
        <v>3579</v>
      </c>
      <c r="AK2885" s="5" t="s">
        <v>3625</v>
      </c>
    </row>
    <row r="2886" spans="35:37">
      <c r="AI2886" s="468">
        <v>45258</v>
      </c>
      <c r="AJ2886" s="5" t="s">
        <v>3624</v>
      </c>
      <c r="AK2886" s="5" t="s">
        <v>3627</v>
      </c>
    </row>
    <row r="2887" spans="35:37">
      <c r="AI2887" s="468">
        <v>45259</v>
      </c>
      <c r="AJ2887" s="5" t="s">
        <v>3626</v>
      </c>
      <c r="AK2887" s="5" t="s">
        <v>3618</v>
      </c>
    </row>
    <row r="2888" spans="35:37">
      <c r="AI2888" s="468">
        <v>45260</v>
      </c>
      <c r="AJ2888" s="5" t="s">
        <v>3628</v>
      </c>
      <c r="AK2888" s="5" t="s">
        <v>3620</v>
      </c>
    </row>
    <row r="2889" spans="35:37">
      <c r="AI2889" s="468">
        <v>45261</v>
      </c>
      <c r="AJ2889" s="5" t="s">
        <v>3617</v>
      </c>
      <c r="AK2889" s="5" t="s">
        <v>3622</v>
      </c>
    </row>
    <row r="2890" spans="35:37">
      <c r="AI2890" s="468">
        <v>45262</v>
      </c>
      <c r="AJ2890" s="5" t="s">
        <v>3619</v>
      </c>
      <c r="AK2890" s="5" t="s">
        <v>3623</v>
      </c>
    </row>
    <row r="2891" spans="35:37">
      <c r="AI2891" s="468">
        <v>45263</v>
      </c>
      <c r="AJ2891" s="5" t="s">
        <v>3621</v>
      </c>
      <c r="AK2891" s="5" t="s">
        <v>3625</v>
      </c>
    </row>
    <row r="2892" spans="35:37">
      <c r="AI2892" s="468">
        <v>45264</v>
      </c>
      <c r="AJ2892" s="5" t="s">
        <v>3579</v>
      </c>
      <c r="AK2892" s="5" t="s">
        <v>3627</v>
      </c>
    </row>
    <row r="2893" spans="35:37">
      <c r="AI2893" s="468">
        <v>45265</v>
      </c>
      <c r="AJ2893" s="5" t="s">
        <v>3624</v>
      </c>
      <c r="AK2893" s="5" t="s">
        <v>3618</v>
      </c>
    </row>
    <row r="2894" spans="35:37">
      <c r="AI2894" s="468">
        <v>45266</v>
      </c>
      <c r="AJ2894" s="5" t="s">
        <v>3626</v>
      </c>
      <c r="AK2894" s="5" t="s">
        <v>3620</v>
      </c>
    </row>
    <row r="2895" spans="35:37">
      <c r="AI2895" s="468">
        <v>45267</v>
      </c>
      <c r="AJ2895" s="5" t="s">
        <v>3628</v>
      </c>
      <c r="AK2895" s="5" t="s">
        <v>3622</v>
      </c>
    </row>
    <row r="2896" spans="35:37">
      <c r="AI2896" s="468">
        <v>45268</v>
      </c>
      <c r="AJ2896" s="5" t="s">
        <v>3617</v>
      </c>
      <c r="AK2896" s="5" t="s">
        <v>3623</v>
      </c>
    </row>
    <row r="2897" spans="35:37">
      <c r="AI2897" s="468">
        <v>45269</v>
      </c>
      <c r="AJ2897" s="5" t="s">
        <v>3619</v>
      </c>
      <c r="AK2897" s="5" t="s">
        <v>3625</v>
      </c>
    </row>
    <row r="2898" spans="35:37">
      <c r="AI2898" s="468">
        <v>45270</v>
      </c>
      <c r="AJ2898" s="5" t="s">
        <v>3621</v>
      </c>
      <c r="AK2898" s="5" t="s">
        <v>3627</v>
      </c>
    </row>
    <row r="2899" spans="35:37">
      <c r="AI2899" s="468">
        <v>45271</v>
      </c>
      <c r="AJ2899" s="5" t="s">
        <v>3579</v>
      </c>
      <c r="AK2899" s="5" t="s">
        <v>3618</v>
      </c>
    </row>
    <row r="2900" spans="35:37">
      <c r="AI2900" s="468">
        <v>45272</v>
      </c>
      <c r="AJ2900" s="5" t="s">
        <v>3624</v>
      </c>
      <c r="AK2900" s="5" t="s">
        <v>3620</v>
      </c>
    </row>
    <row r="2901" spans="35:37">
      <c r="AI2901" s="468">
        <v>45273</v>
      </c>
      <c r="AJ2901" s="5" t="s">
        <v>3626</v>
      </c>
      <c r="AK2901" s="5" t="s">
        <v>3623</v>
      </c>
    </row>
    <row r="2902" spans="35:37">
      <c r="AI2902" s="468">
        <v>45274</v>
      </c>
      <c r="AJ2902" s="5" t="s">
        <v>3628</v>
      </c>
      <c r="AK2902" s="5" t="s">
        <v>3625</v>
      </c>
    </row>
    <row r="2903" spans="35:37">
      <c r="AI2903" s="468">
        <v>45275</v>
      </c>
      <c r="AJ2903" s="5" t="s">
        <v>3617</v>
      </c>
      <c r="AK2903" s="5" t="s">
        <v>3627</v>
      </c>
    </row>
    <row r="2904" spans="35:37">
      <c r="AI2904" s="468">
        <v>45276</v>
      </c>
      <c r="AJ2904" s="5" t="s">
        <v>3619</v>
      </c>
      <c r="AK2904" s="5" t="s">
        <v>3618</v>
      </c>
    </row>
    <row r="2905" spans="35:37">
      <c r="AI2905" s="468">
        <v>45277</v>
      </c>
      <c r="AJ2905" s="5" t="s">
        <v>3621</v>
      </c>
      <c r="AK2905" s="5" t="s">
        <v>3620</v>
      </c>
    </row>
    <row r="2906" spans="35:37">
      <c r="AI2906" s="468">
        <v>45278</v>
      </c>
      <c r="AJ2906" s="5" t="s">
        <v>3579</v>
      </c>
      <c r="AK2906" s="5" t="s">
        <v>3622</v>
      </c>
    </row>
    <row r="2907" spans="35:37">
      <c r="AI2907" s="468">
        <v>45279</v>
      </c>
      <c r="AJ2907" s="5" t="s">
        <v>3624</v>
      </c>
      <c r="AK2907" s="5" t="s">
        <v>3623</v>
      </c>
    </row>
    <row r="2908" spans="35:37">
      <c r="AI2908" s="468">
        <v>45280</v>
      </c>
      <c r="AJ2908" s="5" t="s">
        <v>3626</v>
      </c>
      <c r="AK2908" s="5" t="s">
        <v>3625</v>
      </c>
    </row>
    <row r="2909" spans="35:37">
      <c r="AI2909" s="468">
        <v>45281</v>
      </c>
      <c r="AJ2909" s="5" t="s">
        <v>3628</v>
      </c>
      <c r="AK2909" s="5" t="s">
        <v>3627</v>
      </c>
    </row>
    <row r="2910" spans="35:37">
      <c r="AI2910" s="468">
        <v>45282</v>
      </c>
      <c r="AJ2910" s="5" t="s">
        <v>3617</v>
      </c>
      <c r="AK2910" s="5" t="s">
        <v>3618</v>
      </c>
    </row>
    <row r="2911" spans="35:37">
      <c r="AI2911" s="468">
        <v>45283</v>
      </c>
      <c r="AJ2911" s="5" t="s">
        <v>3619</v>
      </c>
      <c r="AK2911" s="5" t="s">
        <v>3620</v>
      </c>
    </row>
    <row r="2912" spans="35:37">
      <c r="AI2912" s="468">
        <v>45284</v>
      </c>
      <c r="AJ2912" s="5" t="s">
        <v>3621</v>
      </c>
      <c r="AK2912" s="5" t="s">
        <v>3622</v>
      </c>
    </row>
    <row r="2913" spans="35:37">
      <c r="AI2913" s="468">
        <v>45285</v>
      </c>
      <c r="AJ2913" s="5" t="s">
        <v>3579</v>
      </c>
      <c r="AK2913" s="5" t="s">
        <v>3623</v>
      </c>
    </row>
    <row r="2914" spans="35:37">
      <c r="AI2914" s="468">
        <v>45286</v>
      </c>
      <c r="AJ2914" s="5" t="s">
        <v>3624</v>
      </c>
      <c r="AK2914" s="5" t="s">
        <v>3625</v>
      </c>
    </row>
    <row r="2915" spans="35:37">
      <c r="AI2915" s="468">
        <v>45287</v>
      </c>
      <c r="AJ2915" s="5" t="s">
        <v>3626</v>
      </c>
      <c r="AK2915" s="5" t="s">
        <v>3627</v>
      </c>
    </row>
    <row r="2916" spans="35:37">
      <c r="AI2916" s="468">
        <v>45288</v>
      </c>
      <c r="AJ2916" s="5" t="s">
        <v>3628</v>
      </c>
      <c r="AK2916" s="5" t="s">
        <v>3618</v>
      </c>
    </row>
    <row r="2917" spans="35:37">
      <c r="AI2917" s="468">
        <v>45289</v>
      </c>
      <c r="AJ2917" s="5" t="s">
        <v>3617</v>
      </c>
      <c r="AK2917" s="5" t="s">
        <v>3620</v>
      </c>
    </row>
    <row r="2918" spans="35:37">
      <c r="AI2918" s="468">
        <v>45290</v>
      </c>
      <c r="AJ2918" s="5" t="s">
        <v>3619</v>
      </c>
      <c r="AK2918" s="5" t="s">
        <v>3622</v>
      </c>
    </row>
    <row r="2919" spans="35:37">
      <c r="AI2919" s="468">
        <v>45291</v>
      </c>
      <c r="AJ2919" s="5" t="s">
        <v>3621</v>
      </c>
      <c r="AK2919" s="5" t="s">
        <v>3623</v>
      </c>
    </row>
    <row r="2920" spans="35:37">
      <c r="AI2920" s="468">
        <v>45292</v>
      </c>
      <c r="AJ2920" s="5" t="s">
        <v>3579</v>
      </c>
      <c r="AK2920" s="5" t="s">
        <v>3625</v>
      </c>
    </row>
    <row r="2921" spans="35:37">
      <c r="AI2921" s="468">
        <v>45293</v>
      </c>
      <c r="AJ2921" s="5" t="s">
        <v>3624</v>
      </c>
      <c r="AK2921" s="5" t="s">
        <v>3627</v>
      </c>
    </row>
    <row r="2922" spans="35:37">
      <c r="AI2922" s="468">
        <v>45294</v>
      </c>
      <c r="AJ2922" s="5" t="s">
        <v>3626</v>
      </c>
      <c r="AK2922" s="5" t="s">
        <v>3618</v>
      </c>
    </row>
    <row r="2923" spans="35:37">
      <c r="AI2923" s="468">
        <v>45295</v>
      </c>
      <c r="AJ2923" s="5" t="s">
        <v>3628</v>
      </c>
      <c r="AK2923" s="5" t="s">
        <v>3620</v>
      </c>
    </row>
    <row r="2924" spans="35:37">
      <c r="AI2924" s="468">
        <v>45296</v>
      </c>
      <c r="AJ2924" s="5" t="s">
        <v>3617</v>
      </c>
      <c r="AK2924" s="5" t="s">
        <v>3622</v>
      </c>
    </row>
    <row r="2925" spans="35:37">
      <c r="AI2925" s="468">
        <v>45297</v>
      </c>
      <c r="AJ2925" s="5" t="s">
        <v>3619</v>
      </c>
      <c r="AK2925" s="5" t="s">
        <v>3623</v>
      </c>
    </row>
    <row r="2926" spans="35:37">
      <c r="AI2926" s="468">
        <v>45298</v>
      </c>
      <c r="AJ2926" s="5" t="s">
        <v>3621</v>
      </c>
      <c r="AK2926" s="5" t="s">
        <v>3625</v>
      </c>
    </row>
    <row r="2927" spans="35:37">
      <c r="AI2927" s="468">
        <v>45299</v>
      </c>
      <c r="AJ2927" s="5" t="s">
        <v>3579</v>
      </c>
      <c r="AK2927" s="5" t="s">
        <v>3627</v>
      </c>
    </row>
    <row r="2928" spans="35:37">
      <c r="AI2928" s="468">
        <v>45300</v>
      </c>
      <c r="AJ2928" s="5" t="s">
        <v>3624</v>
      </c>
      <c r="AK2928" s="5" t="s">
        <v>3618</v>
      </c>
    </row>
    <row r="2929" spans="35:37">
      <c r="AI2929" s="468">
        <v>45301</v>
      </c>
      <c r="AJ2929" s="5" t="s">
        <v>3626</v>
      </c>
      <c r="AK2929" s="5" t="s">
        <v>3620</v>
      </c>
    </row>
    <row r="2930" spans="35:37">
      <c r="AI2930" s="468">
        <v>45302</v>
      </c>
      <c r="AJ2930" s="5" t="s">
        <v>3628</v>
      </c>
      <c r="AK2930" s="5" t="s">
        <v>3625</v>
      </c>
    </row>
    <row r="2931" spans="35:37">
      <c r="AI2931" s="468">
        <v>45303</v>
      </c>
      <c r="AJ2931" s="5" t="s">
        <v>3617</v>
      </c>
      <c r="AK2931" s="5" t="s">
        <v>3627</v>
      </c>
    </row>
    <row r="2932" spans="35:37">
      <c r="AI2932" s="468">
        <v>45304</v>
      </c>
      <c r="AJ2932" s="5" t="s">
        <v>3619</v>
      </c>
      <c r="AK2932" s="5" t="s">
        <v>3618</v>
      </c>
    </row>
    <row r="2933" spans="35:37">
      <c r="AI2933" s="468">
        <v>45305</v>
      </c>
      <c r="AJ2933" s="5" t="s">
        <v>3621</v>
      </c>
      <c r="AK2933" s="5" t="s">
        <v>3620</v>
      </c>
    </row>
    <row r="2934" spans="35:37">
      <c r="AI2934" s="468">
        <v>45306</v>
      </c>
      <c r="AJ2934" s="5" t="s">
        <v>3579</v>
      </c>
      <c r="AK2934" s="5" t="s">
        <v>3622</v>
      </c>
    </row>
    <row r="2935" spans="35:37">
      <c r="AI2935" s="468">
        <v>45307</v>
      </c>
      <c r="AJ2935" s="5" t="s">
        <v>3624</v>
      </c>
      <c r="AK2935" s="5" t="s">
        <v>3623</v>
      </c>
    </row>
    <row r="2936" spans="35:37">
      <c r="AI2936" s="468">
        <v>45308</v>
      </c>
      <c r="AJ2936" s="5" t="s">
        <v>3626</v>
      </c>
      <c r="AK2936" s="5" t="s">
        <v>3625</v>
      </c>
    </row>
    <row r="2937" spans="35:37">
      <c r="AI2937" s="468">
        <v>45309</v>
      </c>
      <c r="AJ2937" s="5" t="s">
        <v>3628</v>
      </c>
      <c r="AK2937" s="5" t="s">
        <v>3627</v>
      </c>
    </row>
    <row r="2938" spans="35:37">
      <c r="AI2938" s="468">
        <v>45310</v>
      </c>
      <c r="AJ2938" s="5" t="s">
        <v>3617</v>
      </c>
      <c r="AK2938" s="5" t="s">
        <v>3618</v>
      </c>
    </row>
    <row r="2939" spans="35:37">
      <c r="AI2939" s="468">
        <v>45311</v>
      </c>
      <c r="AJ2939" s="5" t="s">
        <v>3619</v>
      </c>
      <c r="AK2939" s="5" t="s">
        <v>3620</v>
      </c>
    </row>
    <row r="2940" spans="35:37">
      <c r="AI2940" s="468">
        <v>45312</v>
      </c>
      <c r="AJ2940" s="5" t="s">
        <v>3621</v>
      </c>
      <c r="AK2940" s="5" t="s">
        <v>3622</v>
      </c>
    </row>
    <row r="2941" spans="35:37">
      <c r="AI2941" s="468">
        <v>45313</v>
      </c>
      <c r="AJ2941" s="5" t="s">
        <v>3579</v>
      </c>
      <c r="AK2941" s="5" t="s">
        <v>3623</v>
      </c>
    </row>
    <row r="2942" spans="35:37">
      <c r="AI2942" s="468">
        <v>45314</v>
      </c>
      <c r="AJ2942" s="5" t="s">
        <v>3624</v>
      </c>
      <c r="AK2942" s="5" t="s">
        <v>3625</v>
      </c>
    </row>
    <row r="2943" spans="35:37">
      <c r="AI2943" s="468">
        <v>45315</v>
      </c>
      <c r="AJ2943" s="5" t="s">
        <v>3626</v>
      </c>
      <c r="AK2943" s="5" t="s">
        <v>3627</v>
      </c>
    </row>
    <row r="2944" spans="35:37">
      <c r="AI2944" s="468">
        <v>45316</v>
      </c>
      <c r="AJ2944" s="5" t="s">
        <v>3628</v>
      </c>
      <c r="AK2944" s="5" t="s">
        <v>3618</v>
      </c>
    </row>
    <row r="2945" spans="35:37">
      <c r="AI2945" s="468">
        <v>45317</v>
      </c>
      <c r="AJ2945" s="5" t="s">
        <v>3617</v>
      </c>
      <c r="AK2945" s="5" t="s">
        <v>3620</v>
      </c>
    </row>
    <row r="2946" spans="35:37">
      <c r="AI2946" s="468">
        <v>45318</v>
      </c>
      <c r="AJ2946" s="5" t="s">
        <v>3619</v>
      </c>
      <c r="AK2946" s="5" t="s">
        <v>3622</v>
      </c>
    </row>
    <row r="2947" spans="35:37">
      <c r="AI2947" s="468">
        <v>45319</v>
      </c>
      <c r="AJ2947" s="5" t="s">
        <v>3621</v>
      </c>
      <c r="AK2947" s="5" t="s">
        <v>3623</v>
      </c>
    </row>
    <row r="2948" spans="35:37">
      <c r="AI2948" s="468">
        <v>45320</v>
      </c>
      <c r="AJ2948" s="5" t="s">
        <v>3579</v>
      </c>
      <c r="AK2948" s="5" t="s">
        <v>3625</v>
      </c>
    </row>
    <row r="2949" spans="35:37">
      <c r="AI2949" s="468">
        <v>45321</v>
      </c>
      <c r="AJ2949" s="5" t="s">
        <v>3624</v>
      </c>
      <c r="AK2949" s="5" t="s">
        <v>3627</v>
      </c>
    </row>
    <row r="2950" spans="35:37">
      <c r="AI2950" s="468">
        <v>45322</v>
      </c>
      <c r="AJ2950" s="5" t="s">
        <v>3626</v>
      </c>
      <c r="AK2950" s="5" t="s">
        <v>3618</v>
      </c>
    </row>
    <row r="2951" spans="35:37">
      <c r="AI2951" s="468">
        <v>45323</v>
      </c>
      <c r="AJ2951" s="5" t="s">
        <v>3628</v>
      </c>
      <c r="AK2951" s="5" t="s">
        <v>3620</v>
      </c>
    </row>
    <row r="2952" spans="35:37">
      <c r="AI2952" s="468">
        <v>45324</v>
      </c>
      <c r="AJ2952" s="5" t="s">
        <v>3617</v>
      </c>
      <c r="AK2952" s="5" t="s">
        <v>3622</v>
      </c>
    </row>
    <row r="2953" spans="35:37">
      <c r="AI2953" s="468">
        <v>45325</v>
      </c>
      <c r="AJ2953" s="5" t="s">
        <v>3619</v>
      </c>
      <c r="AK2953" s="5" t="s">
        <v>3623</v>
      </c>
    </row>
    <row r="2954" spans="35:37">
      <c r="AI2954" s="468">
        <v>45326</v>
      </c>
      <c r="AJ2954" s="5" t="s">
        <v>3621</v>
      </c>
      <c r="AK2954" s="5" t="s">
        <v>3625</v>
      </c>
    </row>
    <row r="2955" spans="35:37">
      <c r="AI2955" s="468">
        <v>45327</v>
      </c>
      <c r="AJ2955" s="5" t="s">
        <v>3579</v>
      </c>
      <c r="AK2955" s="5" t="s">
        <v>3627</v>
      </c>
    </row>
    <row r="2956" spans="35:37">
      <c r="AI2956" s="468">
        <v>45328</v>
      </c>
      <c r="AJ2956" s="5" t="s">
        <v>3624</v>
      </c>
      <c r="AK2956" s="5" t="s">
        <v>3618</v>
      </c>
    </row>
    <row r="2957" spans="35:37">
      <c r="AI2957" s="468">
        <v>45329</v>
      </c>
      <c r="AJ2957" s="5" t="s">
        <v>3626</v>
      </c>
      <c r="AK2957" s="5" t="s">
        <v>3620</v>
      </c>
    </row>
    <row r="2958" spans="35:37">
      <c r="AI2958" s="468">
        <v>45330</v>
      </c>
      <c r="AJ2958" s="5" t="s">
        <v>3628</v>
      </c>
      <c r="AK2958" s="5" t="s">
        <v>3622</v>
      </c>
    </row>
    <row r="2959" spans="35:37">
      <c r="AI2959" s="468">
        <v>45331</v>
      </c>
      <c r="AJ2959" s="5" t="s">
        <v>3617</v>
      </c>
      <c r="AK2959" s="5" t="s">
        <v>3623</v>
      </c>
    </row>
    <row r="2960" spans="35:37">
      <c r="AI2960" s="468">
        <v>45332</v>
      </c>
      <c r="AJ2960" s="5" t="s">
        <v>3619</v>
      </c>
      <c r="AK2960" s="5" t="s">
        <v>3627</v>
      </c>
    </row>
    <row r="2961" spans="35:37">
      <c r="AI2961" s="468">
        <v>45333</v>
      </c>
      <c r="AJ2961" s="5" t="s">
        <v>3621</v>
      </c>
      <c r="AK2961" s="5" t="s">
        <v>3618</v>
      </c>
    </row>
    <row r="2962" spans="35:37">
      <c r="AI2962" s="468">
        <v>45334</v>
      </c>
      <c r="AJ2962" s="5" t="s">
        <v>3579</v>
      </c>
      <c r="AK2962" s="5" t="s">
        <v>3620</v>
      </c>
    </row>
    <row r="2963" spans="35:37">
      <c r="AI2963" s="468">
        <v>45335</v>
      </c>
      <c r="AJ2963" s="5" t="s">
        <v>3624</v>
      </c>
      <c r="AK2963" s="5" t="s">
        <v>3622</v>
      </c>
    </row>
    <row r="2964" spans="35:37">
      <c r="AI2964" s="468">
        <v>45336</v>
      </c>
      <c r="AJ2964" s="5" t="s">
        <v>3626</v>
      </c>
      <c r="AK2964" s="5" t="s">
        <v>3623</v>
      </c>
    </row>
    <row r="2965" spans="35:37">
      <c r="AI2965" s="468">
        <v>45337</v>
      </c>
      <c r="AJ2965" s="5" t="s">
        <v>3628</v>
      </c>
      <c r="AK2965" s="5" t="s">
        <v>3625</v>
      </c>
    </row>
    <row r="2966" spans="35:37">
      <c r="AI2966" s="468">
        <v>45338</v>
      </c>
      <c r="AJ2966" s="5" t="s">
        <v>3617</v>
      </c>
      <c r="AK2966" s="5" t="s">
        <v>3627</v>
      </c>
    </row>
    <row r="2967" spans="35:37">
      <c r="AI2967" s="468">
        <v>45339</v>
      </c>
      <c r="AJ2967" s="5" t="s">
        <v>3619</v>
      </c>
      <c r="AK2967" s="5" t="s">
        <v>3618</v>
      </c>
    </row>
    <row r="2968" spans="35:37">
      <c r="AI2968" s="468">
        <v>45340</v>
      </c>
      <c r="AJ2968" s="5" t="s">
        <v>3621</v>
      </c>
      <c r="AK2968" s="5" t="s">
        <v>3620</v>
      </c>
    </row>
    <row r="2969" spans="35:37">
      <c r="AI2969" s="468">
        <v>45341</v>
      </c>
      <c r="AJ2969" s="5" t="s">
        <v>3579</v>
      </c>
      <c r="AK2969" s="5" t="s">
        <v>3622</v>
      </c>
    </row>
    <row r="2970" spans="35:37">
      <c r="AI2970" s="468">
        <v>45342</v>
      </c>
      <c r="AJ2970" s="5" t="s">
        <v>3624</v>
      </c>
      <c r="AK2970" s="5" t="s">
        <v>3623</v>
      </c>
    </row>
    <row r="2971" spans="35:37">
      <c r="AI2971" s="468">
        <v>45343</v>
      </c>
      <c r="AJ2971" s="5" t="s">
        <v>3626</v>
      </c>
      <c r="AK2971" s="5" t="s">
        <v>3625</v>
      </c>
    </row>
    <row r="2972" spans="35:37">
      <c r="AI2972" s="468">
        <v>45344</v>
      </c>
      <c r="AJ2972" s="5" t="s">
        <v>3628</v>
      </c>
      <c r="AK2972" s="5" t="s">
        <v>3627</v>
      </c>
    </row>
    <row r="2973" spans="35:37">
      <c r="AI2973" s="468">
        <v>45345</v>
      </c>
      <c r="AJ2973" s="5" t="s">
        <v>3617</v>
      </c>
      <c r="AK2973" s="5" t="s">
        <v>3618</v>
      </c>
    </row>
    <row r="2974" spans="35:37">
      <c r="AI2974" s="468">
        <v>45346</v>
      </c>
      <c r="AJ2974" s="5" t="s">
        <v>3619</v>
      </c>
      <c r="AK2974" s="5" t="s">
        <v>3620</v>
      </c>
    </row>
    <row r="2975" spans="35:37">
      <c r="AI2975" s="468">
        <v>45347</v>
      </c>
      <c r="AJ2975" s="5" t="s">
        <v>3621</v>
      </c>
      <c r="AK2975" s="5" t="s">
        <v>3622</v>
      </c>
    </row>
    <row r="2976" spans="35:37">
      <c r="AI2976" s="468">
        <v>45348</v>
      </c>
      <c r="AJ2976" s="5" t="s">
        <v>3579</v>
      </c>
      <c r="AK2976" s="5" t="s">
        <v>3623</v>
      </c>
    </row>
    <row r="2977" spans="35:37">
      <c r="AI2977" s="468">
        <v>45349</v>
      </c>
      <c r="AJ2977" s="5" t="s">
        <v>3624</v>
      </c>
      <c r="AK2977" s="5" t="s">
        <v>3625</v>
      </c>
    </row>
    <row r="2978" spans="35:37">
      <c r="AI2978" s="468">
        <v>45350</v>
      </c>
      <c r="AJ2978" s="5" t="s">
        <v>3626</v>
      </c>
      <c r="AK2978" s="5" t="s">
        <v>3627</v>
      </c>
    </row>
    <row r="2979" spans="35:37">
      <c r="AI2979" s="468">
        <v>45351</v>
      </c>
      <c r="AJ2979" s="5" t="s">
        <v>3628</v>
      </c>
      <c r="AK2979" s="5" t="s">
        <v>3618</v>
      </c>
    </row>
    <row r="2980" spans="35:37">
      <c r="AI2980" s="468">
        <v>45352</v>
      </c>
      <c r="AJ2980" s="5" t="s">
        <v>3617</v>
      </c>
      <c r="AK2980" s="5" t="s">
        <v>3620</v>
      </c>
    </row>
    <row r="2981" spans="35:37">
      <c r="AI2981" s="468">
        <v>45353</v>
      </c>
      <c r="AJ2981" s="5" t="s">
        <v>3619</v>
      </c>
      <c r="AK2981" s="5" t="s">
        <v>3622</v>
      </c>
    </row>
    <row r="2982" spans="35:37">
      <c r="AI2982" s="468">
        <v>45354</v>
      </c>
      <c r="AJ2982" s="5" t="s">
        <v>3621</v>
      </c>
      <c r="AK2982" s="5" t="s">
        <v>3623</v>
      </c>
    </row>
    <row r="2983" spans="35:37">
      <c r="AI2983" s="468">
        <v>45355</v>
      </c>
      <c r="AJ2983" s="5" t="s">
        <v>3579</v>
      </c>
      <c r="AK2983" s="5" t="s">
        <v>3625</v>
      </c>
    </row>
    <row r="2984" spans="35:37">
      <c r="AI2984" s="468">
        <v>45356</v>
      </c>
      <c r="AJ2984" s="5" t="s">
        <v>3624</v>
      </c>
      <c r="AK2984" s="5" t="s">
        <v>3627</v>
      </c>
    </row>
    <row r="2985" spans="35:37">
      <c r="AI2985" s="468">
        <v>45357</v>
      </c>
      <c r="AJ2985" s="5" t="s">
        <v>3626</v>
      </c>
      <c r="AK2985" s="5" t="s">
        <v>3618</v>
      </c>
    </row>
    <row r="2986" spans="35:37">
      <c r="AI2986" s="468">
        <v>45358</v>
      </c>
      <c r="AJ2986" s="5" t="s">
        <v>3628</v>
      </c>
      <c r="AK2986" s="5" t="s">
        <v>3620</v>
      </c>
    </row>
    <row r="2987" spans="35:37">
      <c r="AI2987" s="468">
        <v>45359</v>
      </c>
      <c r="AJ2987" s="5" t="s">
        <v>3617</v>
      </c>
      <c r="AK2987" s="5" t="s">
        <v>3622</v>
      </c>
    </row>
    <row r="2988" spans="35:37">
      <c r="AI2988" s="468">
        <v>45360</v>
      </c>
      <c r="AJ2988" s="5" t="s">
        <v>3619</v>
      </c>
      <c r="AK2988" s="5" t="s">
        <v>3623</v>
      </c>
    </row>
    <row r="2989" spans="35:37">
      <c r="AI2989" s="468">
        <v>45361</v>
      </c>
      <c r="AJ2989" s="5" t="s">
        <v>3621</v>
      </c>
      <c r="AK2989" s="5" t="s">
        <v>3618</v>
      </c>
    </row>
    <row r="2990" spans="35:37">
      <c r="AI2990" s="468">
        <v>45362</v>
      </c>
      <c r="AJ2990" s="5" t="s">
        <v>3579</v>
      </c>
      <c r="AK2990" s="5" t="s">
        <v>3620</v>
      </c>
    </row>
    <row r="2991" spans="35:37">
      <c r="AI2991" s="468">
        <v>45363</v>
      </c>
      <c r="AJ2991" s="5" t="s">
        <v>3624</v>
      </c>
      <c r="AK2991" s="5" t="s">
        <v>3622</v>
      </c>
    </row>
    <row r="2992" spans="35:37">
      <c r="AI2992" s="468">
        <v>45364</v>
      </c>
      <c r="AJ2992" s="5" t="s">
        <v>3626</v>
      </c>
      <c r="AK2992" s="5" t="s">
        <v>3623</v>
      </c>
    </row>
    <row r="2993" spans="35:37">
      <c r="AI2993" s="468">
        <v>45365</v>
      </c>
      <c r="AJ2993" s="5" t="s">
        <v>3628</v>
      </c>
      <c r="AK2993" s="5" t="s">
        <v>3625</v>
      </c>
    </row>
    <row r="2994" spans="35:37">
      <c r="AI2994" s="468">
        <v>45366</v>
      </c>
      <c r="AJ2994" s="5" t="s">
        <v>3617</v>
      </c>
      <c r="AK2994" s="5" t="s">
        <v>3627</v>
      </c>
    </row>
    <row r="2995" spans="35:37">
      <c r="AI2995" s="468">
        <v>45367</v>
      </c>
      <c r="AJ2995" s="5" t="s">
        <v>3619</v>
      </c>
      <c r="AK2995" s="5" t="s">
        <v>3618</v>
      </c>
    </row>
    <row r="2996" spans="35:37">
      <c r="AI2996" s="468">
        <v>45368</v>
      </c>
      <c r="AJ2996" s="5" t="s">
        <v>3621</v>
      </c>
      <c r="AK2996" s="5" t="s">
        <v>3620</v>
      </c>
    </row>
    <row r="2997" spans="35:37">
      <c r="AI2997" s="468">
        <v>45369</v>
      </c>
      <c r="AJ2997" s="5" t="s">
        <v>3579</v>
      </c>
      <c r="AK2997" s="5" t="s">
        <v>3622</v>
      </c>
    </row>
    <row r="2998" spans="35:37">
      <c r="AI2998" s="468">
        <v>45370</v>
      </c>
      <c r="AJ2998" s="5" t="s">
        <v>3624</v>
      </c>
      <c r="AK2998" s="5" t="s">
        <v>3623</v>
      </c>
    </row>
    <row r="2999" spans="35:37">
      <c r="AI2999" s="468">
        <v>45371</v>
      </c>
      <c r="AJ2999" s="5" t="s">
        <v>3626</v>
      </c>
      <c r="AK2999" s="5" t="s">
        <v>3625</v>
      </c>
    </row>
    <row r="3000" spans="35:37">
      <c r="AI3000" s="468">
        <v>45372</v>
      </c>
      <c r="AJ3000" s="5" t="s">
        <v>3628</v>
      </c>
      <c r="AK3000" s="5" t="s">
        <v>3627</v>
      </c>
    </row>
    <row r="3001" spans="35:37">
      <c r="AI3001" s="468">
        <v>45373</v>
      </c>
      <c r="AJ3001" s="5" t="s">
        <v>3617</v>
      </c>
      <c r="AK3001" s="5" t="s">
        <v>3618</v>
      </c>
    </row>
    <row r="3002" spans="35:37">
      <c r="AI3002" s="468">
        <v>45374</v>
      </c>
      <c r="AJ3002" s="5" t="s">
        <v>3619</v>
      </c>
      <c r="AK3002" s="5" t="s">
        <v>3620</v>
      </c>
    </row>
    <row r="3003" spans="35:37">
      <c r="AI3003" s="468">
        <v>45375</v>
      </c>
      <c r="AJ3003" s="5" t="s">
        <v>3621</v>
      </c>
      <c r="AK3003" s="5" t="s">
        <v>3622</v>
      </c>
    </row>
    <row r="3004" spans="35:37">
      <c r="AI3004" s="468">
        <v>45376</v>
      </c>
      <c r="AJ3004" s="5" t="s">
        <v>3579</v>
      </c>
      <c r="AK3004" s="5" t="s">
        <v>3623</v>
      </c>
    </row>
    <row r="3005" spans="35:37">
      <c r="AI3005" s="468">
        <v>45377</v>
      </c>
      <c r="AJ3005" s="5" t="s">
        <v>3624</v>
      </c>
      <c r="AK3005" s="5" t="s">
        <v>3625</v>
      </c>
    </row>
    <row r="3006" spans="35:37">
      <c r="AI3006" s="468">
        <v>45378</v>
      </c>
      <c r="AJ3006" s="5" t="s">
        <v>3626</v>
      </c>
      <c r="AK3006" s="5" t="s">
        <v>3627</v>
      </c>
    </row>
    <row r="3007" spans="35:37">
      <c r="AI3007" s="468">
        <v>45379</v>
      </c>
      <c r="AJ3007" s="5" t="s">
        <v>3628</v>
      </c>
      <c r="AK3007" s="5" t="s">
        <v>3618</v>
      </c>
    </row>
    <row r="3008" spans="35:37">
      <c r="AI3008" s="468">
        <v>45380</v>
      </c>
      <c r="AJ3008" s="5" t="s">
        <v>3617</v>
      </c>
      <c r="AK3008" s="5" t="s">
        <v>3620</v>
      </c>
    </row>
    <row r="3009" spans="35:37">
      <c r="AI3009" s="468">
        <v>45381</v>
      </c>
      <c r="AJ3009" s="5" t="s">
        <v>3619</v>
      </c>
      <c r="AK3009" s="5" t="s">
        <v>3622</v>
      </c>
    </row>
    <row r="3010" spans="35:37">
      <c r="AI3010" s="468">
        <v>45382</v>
      </c>
      <c r="AJ3010" s="5" t="s">
        <v>3621</v>
      </c>
      <c r="AK3010" s="5" t="s">
        <v>3623</v>
      </c>
    </row>
    <row r="3011" spans="35:37">
      <c r="AI3011" s="468">
        <v>45383</v>
      </c>
      <c r="AJ3011" s="5" t="s">
        <v>3579</v>
      </c>
      <c r="AK3011" s="5" t="s">
        <v>3625</v>
      </c>
    </row>
    <row r="3012" spans="35:37">
      <c r="AI3012" s="468">
        <v>45384</v>
      </c>
      <c r="AJ3012" s="5" t="s">
        <v>3624</v>
      </c>
      <c r="AK3012" s="5" t="s">
        <v>3627</v>
      </c>
    </row>
    <row r="3013" spans="35:37">
      <c r="AI3013" s="468">
        <v>45385</v>
      </c>
      <c r="AJ3013" s="5" t="s">
        <v>3626</v>
      </c>
      <c r="AK3013" s="5" t="s">
        <v>3618</v>
      </c>
    </row>
    <row r="3014" spans="35:37">
      <c r="AI3014" s="468">
        <v>45386</v>
      </c>
      <c r="AJ3014" s="5" t="s">
        <v>3628</v>
      </c>
      <c r="AK3014" s="5" t="s">
        <v>3620</v>
      </c>
    </row>
    <row r="3015" spans="35:37">
      <c r="AI3015" s="468">
        <v>45387</v>
      </c>
      <c r="AJ3015" s="5" t="s">
        <v>3617</v>
      </c>
      <c r="AK3015" s="5" t="s">
        <v>3622</v>
      </c>
    </row>
    <row r="3016" spans="35:37">
      <c r="AI3016" s="468">
        <v>45388</v>
      </c>
      <c r="AJ3016" s="5" t="s">
        <v>3619</v>
      </c>
      <c r="AK3016" s="5" t="s">
        <v>3623</v>
      </c>
    </row>
    <row r="3017" spans="35:37">
      <c r="AI3017" s="468">
        <v>45389</v>
      </c>
      <c r="AJ3017" s="5" t="s">
        <v>3621</v>
      </c>
      <c r="AK3017" s="5" t="s">
        <v>3625</v>
      </c>
    </row>
    <row r="3018" spans="35:37">
      <c r="AI3018" s="468">
        <v>45390</v>
      </c>
      <c r="AJ3018" s="5" t="s">
        <v>3579</v>
      </c>
      <c r="AK3018" s="5" t="s">
        <v>3627</v>
      </c>
    </row>
    <row r="3019" spans="35:37">
      <c r="AI3019" s="468">
        <v>45391</v>
      </c>
      <c r="AJ3019" s="5" t="s">
        <v>3624</v>
      </c>
      <c r="AK3019" s="5" t="s">
        <v>3620</v>
      </c>
    </row>
    <row r="3020" spans="35:37">
      <c r="AI3020" s="468">
        <v>45392</v>
      </c>
      <c r="AJ3020" s="5" t="s">
        <v>3626</v>
      </c>
      <c r="AK3020" s="5" t="s">
        <v>3622</v>
      </c>
    </row>
    <row r="3021" spans="35:37">
      <c r="AI3021" s="468">
        <v>45393</v>
      </c>
      <c r="AJ3021" s="5" t="s">
        <v>3628</v>
      </c>
      <c r="AK3021" s="5" t="s">
        <v>3623</v>
      </c>
    </row>
    <row r="3022" spans="35:37">
      <c r="AI3022" s="468">
        <v>45394</v>
      </c>
      <c r="AJ3022" s="5" t="s">
        <v>3617</v>
      </c>
      <c r="AK3022" s="5" t="s">
        <v>3625</v>
      </c>
    </row>
    <row r="3023" spans="35:37">
      <c r="AI3023" s="468">
        <v>45395</v>
      </c>
      <c r="AJ3023" s="5" t="s">
        <v>3619</v>
      </c>
      <c r="AK3023" s="5" t="s">
        <v>3627</v>
      </c>
    </row>
    <row r="3024" spans="35:37">
      <c r="AI3024" s="468">
        <v>45396</v>
      </c>
      <c r="AJ3024" s="5" t="s">
        <v>3621</v>
      </c>
      <c r="AK3024" s="5" t="s">
        <v>3618</v>
      </c>
    </row>
    <row r="3025" spans="35:37">
      <c r="AI3025" s="468">
        <v>45397</v>
      </c>
      <c r="AJ3025" s="5" t="s">
        <v>3579</v>
      </c>
      <c r="AK3025" s="5" t="s">
        <v>3620</v>
      </c>
    </row>
    <row r="3026" spans="35:37">
      <c r="AI3026" s="468">
        <v>45398</v>
      </c>
      <c r="AJ3026" s="5" t="s">
        <v>3624</v>
      </c>
      <c r="AK3026" s="5" t="s">
        <v>3622</v>
      </c>
    </row>
    <row r="3027" spans="35:37">
      <c r="AI3027" s="468">
        <v>45399</v>
      </c>
      <c r="AJ3027" s="5" t="s">
        <v>3626</v>
      </c>
      <c r="AK3027" s="5" t="s">
        <v>3623</v>
      </c>
    </row>
    <row r="3028" spans="35:37">
      <c r="AI3028" s="468">
        <v>45400</v>
      </c>
      <c r="AJ3028" s="5" t="s">
        <v>3628</v>
      </c>
      <c r="AK3028" s="5" t="s">
        <v>3625</v>
      </c>
    </row>
    <row r="3029" spans="35:37">
      <c r="AI3029" s="468">
        <v>45401</v>
      </c>
      <c r="AJ3029" s="5" t="s">
        <v>3617</v>
      </c>
      <c r="AK3029" s="5" t="s">
        <v>3627</v>
      </c>
    </row>
    <row r="3030" spans="35:37">
      <c r="AI3030" s="468">
        <v>45402</v>
      </c>
      <c r="AJ3030" s="5" t="s">
        <v>3619</v>
      </c>
      <c r="AK3030" s="5" t="s">
        <v>3618</v>
      </c>
    </row>
    <row r="3031" spans="35:37">
      <c r="AI3031" s="468">
        <v>45403</v>
      </c>
      <c r="AJ3031" s="5" t="s">
        <v>3621</v>
      </c>
      <c r="AK3031" s="5" t="s">
        <v>3620</v>
      </c>
    </row>
    <row r="3032" spans="35:37">
      <c r="AI3032" s="468">
        <v>45404</v>
      </c>
      <c r="AJ3032" s="5" t="s">
        <v>3579</v>
      </c>
      <c r="AK3032" s="5" t="s">
        <v>3622</v>
      </c>
    </row>
    <row r="3033" spans="35:37">
      <c r="AI3033" s="468">
        <v>45405</v>
      </c>
      <c r="AJ3033" s="5" t="s">
        <v>3624</v>
      </c>
      <c r="AK3033" s="5" t="s">
        <v>3623</v>
      </c>
    </row>
    <row r="3034" spans="35:37">
      <c r="AI3034" s="468">
        <v>45406</v>
      </c>
      <c r="AJ3034" s="5" t="s">
        <v>3626</v>
      </c>
      <c r="AK3034" s="5" t="s">
        <v>3625</v>
      </c>
    </row>
    <row r="3035" spans="35:37">
      <c r="AI3035" s="468">
        <v>45407</v>
      </c>
      <c r="AJ3035" s="5" t="s">
        <v>3628</v>
      </c>
      <c r="AK3035" s="5" t="s">
        <v>3627</v>
      </c>
    </row>
    <row r="3036" spans="35:37">
      <c r="AI3036" s="468">
        <v>45408</v>
      </c>
      <c r="AJ3036" s="5" t="s">
        <v>3617</v>
      </c>
      <c r="AK3036" s="5" t="s">
        <v>3618</v>
      </c>
    </row>
    <row r="3037" spans="35:37">
      <c r="AI3037" s="468">
        <v>45409</v>
      </c>
      <c r="AJ3037" s="5" t="s">
        <v>3619</v>
      </c>
      <c r="AK3037" s="5" t="s">
        <v>3620</v>
      </c>
    </row>
    <row r="3038" spans="35:37">
      <c r="AI3038" s="468">
        <v>45410</v>
      </c>
      <c r="AJ3038" s="5" t="s">
        <v>3621</v>
      </c>
      <c r="AK3038" s="5" t="s">
        <v>3622</v>
      </c>
    </row>
    <row r="3039" spans="35:37">
      <c r="AI3039" s="468">
        <v>45411</v>
      </c>
      <c r="AJ3039" s="5" t="s">
        <v>3579</v>
      </c>
      <c r="AK3039" s="5" t="s">
        <v>3623</v>
      </c>
    </row>
    <row r="3040" spans="35:37">
      <c r="AI3040" s="468">
        <v>45412</v>
      </c>
      <c r="AJ3040" s="5" t="s">
        <v>3624</v>
      </c>
      <c r="AK3040" s="5" t="s">
        <v>3625</v>
      </c>
    </row>
    <row r="3041" spans="35:37">
      <c r="AI3041" s="468">
        <v>45413</v>
      </c>
      <c r="AJ3041" s="5" t="s">
        <v>3626</v>
      </c>
      <c r="AK3041" s="5" t="s">
        <v>3627</v>
      </c>
    </row>
    <row r="3042" spans="35:37">
      <c r="AI3042" s="468">
        <v>45414</v>
      </c>
      <c r="AJ3042" s="5" t="s">
        <v>3628</v>
      </c>
      <c r="AK3042" s="5" t="s">
        <v>3618</v>
      </c>
    </row>
    <row r="3043" spans="35:37">
      <c r="AI3043" s="468">
        <v>45415</v>
      </c>
      <c r="AJ3043" s="5" t="s">
        <v>3617</v>
      </c>
      <c r="AK3043" s="5" t="s">
        <v>3620</v>
      </c>
    </row>
    <row r="3044" spans="35:37">
      <c r="AI3044" s="468">
        <v>45416</v>
      </c>
      <c r="AJ3044" s="5" t="s">
        <v>3619</v>
      </c>
      <c r="AK3044" s="5" t="s">
        <v>3622</v>
      </c>
    </row>
    <row r="3045" spans="35:37">
      <c r="AI3045" s="468">
        <v>45417</v>
      </c>
      <c r="AJ3045" s="5" t="s">
        <v>3621</v>
      </c>
      <c r="AK3045" s="5" t="s">
        <v>3623</v>
      </c>
    </row>
    <row r="3046" spans="35:37">
      <c r="AI3046" s="468">
        <v>45418</v>
      </c>
      <c r="AJ3046" s="5" t="s">
        <v>3579</v>
      </c>
      <c r="AK3046" s="5" t="s">
        <v>3625</v>
      </c>
    </row>
    <row r="3047" spans="35:37">
      <c r="AI3047" s="468">
        <v>45419</v>
      </c>
      <c r="AJ3047" s="5" t="s">
        <v>3624</v>
      </c>
      <c r="AK3047" s="5" t="s">
        <v>3627</v>
      </c>
    </row>
    <row r="3048" spans="35:37">
      <c r="AI3048" s="468">
        <v>45420</v>
      </c>
      <c r="AJ3048" s="5" t="s">
        <v>3626</v>
      </c>
      <c r="AK3048" s="5" t="s">
        <v>3622</v>
      </c>
    </row>
    <row r="3049" spans="35:37">
      <c r="AI3049" s="468">
        <v>45421</v>
      </c>
      <c r="AJ3049" s="5" t="s">
        <v>3628</v>
      </c>
      <c r="AK3049" s="5" t="s">
        <v>3623</v>
      </c>
    </row>
    <row r="3050" spans="35:37">
      <c r="AI3050" s="468">
        <v>45422</v>
      </c>
      <c r="AJ3050" s="5" t="s">
        <v>3617</v>
      </c>
      <c r="AK3050" s="5" t="s">
        <v>3625</v>
      </c>
    </row>
    <row r="3051" spans="35:37">
      <c r="AI3051" s="468">
        <v>45423</v>
      </c>
      <c r="AJ3051" s="5" t="s">
        <v>3619</v>
      </c>
      <c r="AK3051" s="5" t="s">
        <v>3627</v>
      </c>
    </row>
    <row r="3052" spans="35:37">
      <c r="AI3052" s="468">
        <v>45424</v>
      </c>
      <c r="AJ3052" s="5" t="s">
        <v>3621</v>
      </c>
      <c r="AK3052" s="5" t="s">
        <v>3618</v>
      </c>
    </row>
    <row r="3053" spans="35:37">
      <c r="AI3053" s="468">
        <v>45425</v>
      </c>
      <c r="AJ3053" s="5" t="s">
        <v>3579</v>
      </c>
      <c r="AK3053" s="5" t="s">
        <v>3620</v>
      </c>
    </row>
    <row r="3054" spans="35:37">
      <c r="AI3054" s="468">
        <v>45426</v>
      </c>
      <c r="AJ3054" s="5" t="s">
        <v>3624</v>
      </c>
      <c r="AK3054" s="5" t="s">
        <v>3622</v>
      </c>
    </row>
    <row r="3055" spans="35:37">
      <c r="AI3055" s="468">
        <v>45427</v>
      </c>
      <c r="AJ3055" s="5" t="s">
        <v>3626</v>
      </c>
      <c r="AK3055" s="5" t="s">
        <v>3623</v>
      </c>
    </row>
    <row r="3056" spans="35:37">
      <c r="AI3056" s="468">
        <v>45428</v>
      </c>
      <c r="AJ3056" s="5" t="s">
        <v>3628</v>
      </c>
      <c r="AK3056" s="5" t="s">
        <v>3625</v>
      </c>
    </row>
    <row r="3057" spans="35:37">
      <c r="AI3057" s="468">
        <v>45429</v>
      </c>
      <c r="AJ3057" s="5" t="s">
        <v>3617</v>
      </c>
      <c r="AK3057" s="5" t="s">
        <v>3627</v>
      </c>
    </row>
    <row r="3058" spans="35:37">
      <c r="AI3058" s="468">
        <v>45430</v>
      </c>
      <c r="AJ3058" s="5" t="s">
        <v>3619</v>
      </c>
      <c r="AK3058" s="5" t="s">
        <v>3618</v>
      </c>
    </row>
    <row r="3059" spans="35:37">
      <c r="AI3059" s="468">
        <v>45431</v>
      </c>
      <c r="AJ3059" s="5" t="s">
        <v>3621</v>
      </c>
      <c r="AK3059" s="5" t="s">
        <v>3620</v>
      </c>
    </row>
    <row r="3060" spans="35:37">
      <c r="AI3060" s="468">
        <v>45432</v>
      </c>
      <c r="AJ3060" s="5" t="s">
        <v>3579</v>
      </c>
      <c r="AK3060" s="5" t="s">
        <v>3622</v>
      </c>
    </row>
    <row r="3061" spans="35:37">
      <c r="AI3061" s="468">
        <v>45433</v>
      </c>
      <c r="AJ3061" s="5" t="s">
        <v>3624</v>
      </c>
      <c r="AK3061" s="5" t="s">
        <v>3623</v>
      </c>
    </row>
    <row r="3062" spans="35:37">
      <c r="AI3062" s="468">
        <v>45434</v>
      </c>
      <c r="AJ3062" s="5" t="s">
        <v>3626</v>
      </c>
      <c r="AK3062" s="5" t="s">
        <v>3625</v>
      </c>
    </row>
    <row r="3063" spans="35:37">
      <c r="AI3063" s="468">
        <v>45435</v>
      </c>
      <c r="AJ3063" s="5" t="s">
        <v>3628</v>
      </c>
      <c r="AK3063" s="5" t="s">
        <v>3627</v>
      </c>
    </row>
    <row r="3064" spans="35:37">
      <c r="AI3064" s="468">
        <v>45436</v>
      </c>
      <c r="AJ3064" s="5" t="s">
        <v>3617</v>
      </c>
      <c r="AK3064" s="5" t="s">
        <v>3618</v>
      </c>
    </row>
    <row r="3065" spans="35:37">
      <c r="AI3065" s="468">
        <v>45437</v>
      </c>
      <c r="AJ3065" s="5" t="s">
        <v>3619</v>
      </c>
      <c r="AK3065" s="5" t="s">
        <v>3620</v>
      </c>
    </row>
    <row r="3066" spans="35:37">
      <c r="AI3066" s="468">
        <v>45438</v>
      </c>
      <c r="AJ3066" s="5" t="s">
        <v>3621</v>
      </c>
      <c r="AK3066" s="5" t="s">
        <v>3622</v>
      </c>
    </row>
    <row r="3067" spans="35:37">
      <c r="AI3067" s="468">
        <v>45439</v>
      </c>
      <c r="AJ3067" s="5" t="s">
        <v>3579</v>
      </c>
      <c r="AK3067" s="5" t="s">
        <v>3623</v>
      </c>
    </row>
    <row r="3068" spans="35:37">
      <c r="AI3068" s="468">
        <v>45440</v>
      </c>
      <c r="AJ3068" s="5" t="s">
        <v>3624</v>
      </c>
      <c r="AK3068" s="5" t="s">
        <v>3625</v>
      </c>
    </row>
    <row r="3069" spans="35:37">
      <c r="AI3069" s="468">
        <v>45441</v>
      </c>
      <c r="AJ3069" s="5" t="s">
        <v>3626</v>
      </c>
      <c r="AK3069" s="5" t="s">
        <v>3627</v>
      </c>
    </row>
    <row r="3070" spans="35:37">
      <c r="AI3070" s="468">
        <v>45442</v>
      </c>
      <c r="AJ3070" s="5" t="s">
        <v>3628</v>
      </c>
      <c r="AK3070" s="5" t="s">
        <v>3618</v>
      </c>
    </row>
    <row r="3071" spans="35:37">
      <c r="AI3071" s="468">
        <v>45443</v>
      </c>
      <c r="AJ3071" s="5" t="s">
        <v>3617</v>
      </c>
      <c r="AK3071" s="5" t="s">
        <v>3620</v>
      </c>
    </row>
    <row r="3072" spans="35:37">
      <c r="AI3072" s="468">
        <v>45444</v>
      </c>
      <c r="AJ3072" s="5" t="s">
        <v>3619</v>
      </c>
      <c r="AK3072" s="5" t="s">
        <v>3622</v>
      </c>
    </row>
    <row r="3073" spans="35:37">
      <c r="AI3073" s="468">
        <v>45445</v>
      </c>
      <c r="AJ3073" s="5" t="s">
        <v>3621</v>
      </c>
      <c r="AK3073" s="5" t="s">
        <v>3623</v>
      </c>
    </row>
    <row r="3074" spans="35:37">
      <c r="AI3074" s="468">
        <v>45446</v>
      </c>
      <c r="AJ3074" s="5" t="s">
        <v>3579</v>
      </c>
      <c r="AK3074" s="5" t="s">
        <v>3625</v>
      </c>
    </row>
    <row r="3075" spans="35:37">
      <c r="AI3075" s="468">
        <v>45447</v>
      </c>
      <c r="AJ3075" s="5" t="s">
        <v>3624</v>
      </c>
      <c r="AK3075" s="5" t="s">
        <v>3627</v>
      </c>
    </row>
    <row r="3076" spans="35:37">
      <c r="AI3076" s="468">
        <v>45448</v>
      </c>
      <c r="AJ3076" s="5" t="s">
        <v>3626</v>
      </c>
      <c r="AK3076" s="5" t="s">
        <v>3618</v>
      </c>
    </row>
    <row r="3077" spans="35:37">
      <c r="AI3077" s="468">
        <v>45449</v>
      </c>
      <c r="AJ3077" s="5" t="s">
        <v>3628</v>
      </c>
      <c r="AK3077" s="5" t="s">
        <v>3623</v>
      </c>
    </row>
    <row r="3078" spans="35:37">
      <c r="AI3078" s="468">
        <v>45450</v>
      </c>
      <c r="AJ3078" s="5" t="s">
        <v>3617</v>
      </c>
      <c r="AK3078" s="5" t="s">
        <v>3625</v>
      </c>
    </row>
    <row r="3079" spans="35:37">
      <c r="AI3079" s="468">
        <v>45451</v>
      </c>
      <c r="AJ3079" s="5" t="s">
        <v>3619</v>
      </c>
      <c r="AK3079" s="5" t="s">
        <v>3627</v>
      </c>
    </row>
    <row r="3080" spans="35:37">
      <c r="AI3080" s="468">
        <v>45452</v>
      </c>
      <c r="AJ3080" s="5" t="s">
        <v>3621</v>
      </c>
      <c r="AK3080" s="5" t="s">
        <v>3618</v>
      </c>
    </row>
    <row r="3081" spans="35:37">
      <c r="AI3081" s="468">
        <v>45453</v>
      </c>
      <c r="AJ3081" s="5" t="s">
        <v>3579</v>
      </c>
      <c r="AK3081" s="5" t="s">
        <v>3620</v>
      </c>
    </row>
    <row r="3082" spans="35:37">
      <c r="AI3082" s="468">
        <v>45454</v>
      </c>
      <c r="AJ3082" s="5" t="s">
        <v>3624</v>
      </c>
      <c r="AK3082" s="5" t="s">
        <v>3622</v>
      </c>
    </row>
    <row r="3083" spans="35:37">
      <c r="AI3083" s="468">
        <v>45455</v>
      </c>
      <c r="AJ3083" s="5" t="s">
        <v>3626</v>
      </c>
      <c r="AK3083" s="5" t="s">
        <v>3623</v>
      </c>
    </row>
    <row r="3084" spans="35:37">
      <c r="AI3084" s="468">
        <v>45456</v>
      </c>
      <c r="AJ3084" s="5" t="s">
        <v>3628</v>
      </c>
      <c r="AK3084" s="5" t="s">
        <v>3625</v>
      </c>
    </row>
    <row r="3085" spans="35:37">
      <c r="AI3085" s="468">
        <v>45457</v>
      </c>
      <c r="AJ3085" s="5" t="s">
        <v>3617</v>
      </c>
      <c r="AK3085" s="5" t="s">
        <v>3627</v>
      </c>
    </row>
    <row r="3086" spans="35:37">
      <c r="AI3086" s="468">
        <v>45458</v>
      </c>
      <c r="AJ3086" s="5" t="s">
        <v>3619</v>
      </c>
      <c r="AK3086" s="5" t="s">
        <v>3618</v>
      </c>
    </row>
    <row r="3087" spans="35:37">
      <c r="AI3087" s="468">
        <v>45459</v>
      </c>
      <c r="AJ3087" s="5" t="s">
        <v>3621</v>
      </c>
      <c r="AK3087" s="5" t="s">
        <v>3620</v>
      </c>
    </row>
    <row r="3088" spans="35:37">
      <c r="AI3088" s="468">
        <v>45460</v>
      </c>
      <c r="AJ3088" s="5" t="s">
        <v>3579</v>
      </c>
      <c r="AK3088" s="5" t="s">
        <v>3622</v>
      </c>
    </row>
    <row r="3089" spans="35:37">
      <c r="AI3089" s="468">
        <v>45461</v>
      </c>
      <c r="AJ3089" s="5" t="s">
        <v>3624</v>
      </c>
      <c r="AK3089" s="5" t="s">
        <v>3623</v>
      </c>
    </row>
    <row r="3090" spans="35:37">
      <c r="AI3090" s="468">
        <v>45462</v>
      </c>
      <c r="AJ3090" s="5" t="s">
        <v>3626</v>
      </c>
      <c r="AK3090" s="5" t="s">
        <v>3625</v>
      </c>
    </row>
    <row r="3091" spans="35:37">
      <c r="AI3091" s="468">
        <v>45463</v>
      </c>
      <c r="AJ3091" s="5" t="s">
        <v>3628</v>
      </c>
      <c r="AK3091" s="5" t="s">
        <v>3627</v>
      </c>
    </row>
    <row r="3092" spans="35:37">
      <c r="AI3092" s="468">
        <v>45464</v>
      </c>
      <c r="AJ3092" s="5" t="s">
        <v>3617</v>
      </c>
      <c r="AK3092" s="5" t="s">
        <v>3618</v>
      </c>
    </row>
    <row r="3093" spans="35:37">
      <c r="AI3093" s="468">
        <v>45465</v>
      </c>
      <c r="AJ3093" s="5" t="s">
        <v>3619</v>
      </c>
      <c r="AK3093" s="5" t="s">
        <v>3620</v>
      </c>
    </row>
    <row r="3094" spans="35:37">
      <c r="AI3094" s="468">
        <v>45466</v>
      </c>
      <c r="AJ3094" s="5" t="s">
        <v>3621</v>
      </c>
      <c r="AK3094" s="5" t="s">
        <v>3622</v>
      </c>
    </row>
    <row r="3095" spans="35:37">
      <c r="AI3095" s="468">
        <v>45467</v>
      </c>
      <c r="AJ3095" s="5" t="s">
        <v>3579</v>
      </c>
      <c r="AK3095" s="5" t="s">
        <v>3623</v>
      </c>
    </row>
    <row r="3096" spans="35:37">
      <c r="AI3096" s="468">
        <v>45468</v>
      </c>
      <c r="AJ3096" s="5" t="s">
        <v>3624</v>
      </c>
      <c r="AK3096" s="5" t="s">
        <v>3625</v>
      </c>
    </row>
    <row r="3097" spans="35:37">
      <c r="AI3097" s="468">
        <v>45469</v>
      </c>
      <c r="AJ3097" s="5" t="s">
        <v>3626</v>
      </c>
      <c r="AK3097" s="5" t="s">
        <v>3627</v>
      </c>
    </row>
    <row r="3098" spans="35:37">
      <c r="AI3098" s="468">
        <v>45470</v>
      </c>
      <c r="AJ3098" s="5" t="s">
        <v>3628</v>
      </c>
      <c r="AK3098" s="5" t="s">
        <v>3618</v>
      </c>
    </row>
    <row r="3099" spans="35:37">
      <c r="AI3099" s="468">
        <v>45471</v>
      </c>
      <c r="AJ3099" s="5" t="s">
        <v>3617</v>
      </c>
      <c r="AK3099" s="5" t="s">
        <v>3620</v>
      </c>
    </row>
    <row r="3100" spans="35:37">
      <c r="AI3100" s="468">
        <v>45472</v>
      </c>
      <c r="AJ3100" s="5" t="s">
        <v>3619</v>
      </c>
      <c r="AK3100" s="5" t="s">
        <v>3622</v>
      </c>
    </row>
    <row r="3101" spans="35:37">
      <c r="AI3101" s="468">
        <v>45473</v>
      </c>
      <c r="AJ3101" s="5" t="s">
        <v>3621</v>
      </c>
      <c r="AK3101" s="5" t="s">
        <v>3623</v>
      </c>
    </row>
    <row r="3102" spans="35:37">
      <c r="AI3102" s="468">
        <v>45474</v>
      </c>
      <c r="AJ3102" s="5" t="s">
        <v>3579</v>
      </c>
      <c r="AK3102" s="5" t="s">
        <v>3625</v>
      </c>
    </row>
    <row r="3103" spans="35:37">
      <c r="AI3103" s="468">
        <v>45475</v>
      </c>
      <c r="AJ3103" s="5" t="s">
        <v>3624</v>
      </c>
      <c r="AK3103" s="5" t="s">
        <v>3627</v>
      </c>
    </row>
    <row r="3104" spans="35:37">
      <c r="AI3104" s="468">
        <v>45476</v>
      </c>
      <c r="AJ3104" s="5" t="s">
        <v>3626</v>
      </c>
      <c r="AK3104" s="5" t="s">
        <v>3618</v>
      </c>
    </row>
    <row r="3105" spans="35:37">
      <c r="AI3105" s="468">
        <v>45477</v>
      </c>
      <c r="AJ3105" s="5" t="s">
        <v>3628</v>
      </c>
      <c r="AK3105" s="5" t="s">
        <v>3620</v>
      </c>
    </row>
    <row r="3106" spans="35:37">
      <c r="AI3106" s="468">
        <v>45478</v>
      </c>
      <c r="AJ3106" s="5" t="s">
        <v>3617</v>
      </c>
      <c r="AK3106" s="5" t="s">
        <v>3622</v>
      </c>
    </row>
    <row r="3107" spans="35:37">
      <c r="AI3107" s="468">
        <v>45479</v>
      </c>
      <c r="AJ3107" s="5" t="s">
        <v>3619</v>
      </c>
      <c r="AK3107" s="5" t="s">
        <v>3625</v>
      </c>
    </row>
    <row r="3108" spans="35:37">
      <c r="AI3108" s="468">
        <v>45480</v>
      </c>
      <c r="AJ3108" s="5" t="s">
        <v>3621</v>
      </c>
      <c r="AK3108" s="5" t="s">
        <v>3627</v>
      </c>
    </row>
    <row r="3109" spans="35:37">
      <c r="AI3109" s="468">
        <v>45481</v>
      </c>
      <c r="AJ3109" s="5" t="s">
        <v>3579</v>
      </c>
      <c r="AK3109" s="5" t="s">
        <v>3618</v>
      </c>
    </row>
    <row r="3110" spans="35:37">
      <c r="AI3110" s="468">
        <v>45482</v>
      </c>
      <c r="AJ3110" s="5" t="s">
        <v>3624</v>
      </c>
      <c r="AK3110" s="5" t="s">
        <v>3620</v>
      </c>
    </row>
    <row r="3111" spans="35:37">
      <c r="AI3111" s="468">
        <v>45483</v>
      </c>
      <c r="AJ3111" s="5" t="s">
        <v>3626</v>
      </c>
      <c r="AK3111" s="5" t="s">
        <v>3622</v>
      </c>
    </row>
    <row r="3112" spans="35:37">
      <c r="AI3112" s="468">
        <v>45484</v>
      </c>
      <c r="AJ3112" s="5" t="s">
        <v>3628</v>
      </c>
      <c r="AK3112" s="5" t="s">
        <v>3623</v>
      </c>
    </row>
    <row r="3113" spans="35:37">
      <c r="AI3113" s="468">
        <v>45485</v>
      </c>
      <c r="AJ3113" s="5" t="s">
        <v>3617</v>
      </c>
      <c r="AK3113" s="5" t="s">
        <v>3625</v>
      </c>
    </row>
    <row r="3114" spans="35:37">
      <c r="AI3114" s="468">
        <v>45486</v>
      </c>
      <c r="AJ3114" s="5" t="s">
        <v>3619</v>
      </c>
      <c r="AK3114" s="5" t="s">
        <v>3627</v>
      </c>
    </row>
    <row r="3115" spans="35:37">
      <c r="AI3115" s="468">
        <v>45487</v>
      </c>
      <c r="AJ3115" s="5" t="s">
        <v>3621</v>
      </c>
      <c r="AK3115" s="5" t="s">
        <v>3618</v>
      </c>
    </row>
    <row r="3116" spans="35:37">
      <c r="AI3116" s="468">
        <v>45488</v>
      </c>
      <c r="AJ3116" s="5" t="s">
        <v>3579</v>
      </c>
      <c r="AK3116" s="5" t="s">
        <v>3620</v>
      </c>
    </row>
    <row r="3117" spans="35:37">
      <c r="AI3117" s="468">
        <v>45489</v>
      </c>
      <c r="AJ3117" s="5" t="s">
        <v>3624</v>
      </c>
      <c r="AK3117" s="5" t="s">
        <v>3622</v>
      </c>
    </row>
    <row r="3118" spans="35:37">
      <c r="AI3118" s="468">
        <v>45490</v>
      </c>
      <c r="AJ3118" s="5" t="s">
        <v>3626</v>
      </c>
      <c r="AK3118" s="5" t="s">
        <v>3623</v>
      </c>
    </row>
    <row r="3119" spans="35:37">
      <c r="AI3119" s="468">
        <v>45491</v>
      </c>
      <c r="AJ3119" s="5" t="s">
        <v>3628</v>
      </c>
      <c r="AK3119" s="5" t="s">
        <v>3625</v>
      </c>
    </row>
    <row r="3120" spans="35:37">
      <c r="AI3120" s="468">
        <v>45492</v>
      </c>
      <c r="AJ3120" s="5" t="s">
        <v>3617</v>
      </c>
      <c r="AK3120" s="5" t="s">
        <v>3627</v>
      </c>
    </row>
    <row r="3121" spans="35:37">
      <c r="AI3121" s="468">
        <v>45493</v>
      </c>
      <c r="AJ3121" s="5" t="s">
        <v>3619</v>
      </c>
      <c r="AK3121" s="5" t="s">
        <v>3618</v>
      </c>
    </row>
    <row r="3122" spans="35:37">
      <c r="AI3122" s="468">
        <v>45494</v>
      </c>
      <c r="AJ3122" s="5" t="s">
        <v>3621</v>
      </c>
      <c r="AK3122" s="5" t="s">
        <v>3620</v>
      </c>
    </row>
    <row r="3123" spans="35:37">
      <c r="AI3123" s="468">
        <v>45495</v>
      </c>
      <c r="AJ3123" s="5" t="s">
        <v>3579</v>
      </c>
      <c r="AK3123" s="5" t="s">
        <v>3622</v>
      </c>
    </row>
    <row r="3124" spans="35:37">
      <c r="AI3124" s="468">
        <v>45496</v>
      </c>
      <c r="AJ3124" s="5" t="s">
        <v>3624</v>
      </c>
      <c r="AK3124" s="5" t="s">
        <v>3623</v>
      </c>
    </row>
    <row r="3125" spans="35:37">
      <c r="AI3125" s="468">
        <v>45497</v>
      </c>
      <c r="AJ3125" s="5" t="s">
        <v>3626</v>
      </c>
      <c r="AK3125" s="5" t="s">
        <v>3625</v>
      </c>
    </row>
    <row r="3126" spans="35:37">
      <c r="AI3126" s="468">
        <v>45498</v>
      </c>
      <c r="AJ3126" s="5" t="s">
        <v>3628</v>
      </c>
      <c r="AK3126" s="5" t="s">
        <v>3627</v>
      </c>
    </row>
    <row r="3127" spans="35:37">
      <c r="AI3127" s="468">
        <v>45499</v>
      </c>
      <c r="AJ3127" s="5" t="s">
        <v>3617</v>
      </c>
      <c r="AK3127" s="5" t="s">
        <v>3618</v>
      </c>
    </row>
    <row r="3128" spans="35:37">
      <c r="AI3128" s="468">
        <v>45500</v>
      </c>
      <c r="AJ3128" s="5" t="s">
        <v>3619</v>
      </c>
      <c r="AK3128" s="5" t="s">
        <v>3620</v>
      </c>
    </row>
    <row r="3129" spans="35:37">
      <c r="AI3129" s="468">
        <v>45501</v>
      </c>
      <c r="AJ3129" s="5" t="s">
        <v>3621</v>
      </c>
      <c r="AK3129" s="5" t="s">
        <v>3622</v>
      </c>
    </row>
    <row r="3130" spans="35:37">
      <c r="AI3130" s="468">
        <v>45502</v>
      </c>
      <c r="AJ3130" s="5" t="s">
        <v>3579</v>
      </c>
      <c r="AK3130" s="5" t="s">
        <v>3623</v>
      </c>
    </row>
    <row r="3131" spans="35:37">
      <c r="AI3131" s="468">
        <v>45503</v>
      </c>
      <c r="AJ3131" s="5" t="s">
        <v>3624</v>
      </c>
      <c r="AK3131" s="5" t="s">
        <v>3625</v>
      </c>
    </row>
    <row r="3132" spans="35:37">
      <c r="AI3132" s="468">
        <v>45504</v>
      </c>
      <c r="AJ3132" s="5" t="s">
        <v>3626</v>
      </c>
      <c r="AK3132" s="5" t="s">
        <v>3627</v>
      </c>
    </row>
    <row r="3133" spans="35:37">
      <c r="AI3133" s="468">
        <v>45505</v>
      </c>
      <c r="AJ3133" s="5" t="s">
        <v>3628</v>
      </c>
      <c r="AK3133" s="5" t="s">
        <v>3618</v>
      </c>
    </row>
    <row r="3134" spans="35:37">
      <c r="AI3134" s="468">
        <v>45506</v>
      </c>
      <c r="AJ3134" s="5" t="s">
        <v>3617</v>
      </c>
      <c r="AK3134" s="5" t="s">
        <v>3620</v>
      </c>
    </row>
    <row r="3135" spans="35:37">
      <c r="AI3135" s="468">
        <v>45507</v>
      </c>
      <c r="AJ3135" s="5" t="s">
        <v>3619</v>
      </c>
      <c r="AK3135" s="5" t="s">
        <v>3622</v>
      </c>
    </row>
    <row r="3136" spans="35:37">
      <c r="AI3136" s="468">
        <v>45508</v>
      </c>
      <c r="AJ3136" s="5" t="s">
        <v>3621</v>
      </c>
      <c r="AK3136" s="5" t="s">
        <v>3627</v>
      </c>
    </row>
    <row r="3137" spans="35:37">
      <c r="AI3137" s="468">
        <v>45509</v>
      </c>
      <c r="AJ3137" s="5" t="s">
        <v>3579</v>
      </c>
      <c r="AK3137" s="5" t="s">
        <v>3618</v>
      </c>
    </row>
    <row r="3138" spans="35:37">
      <c r="AI3138" s="468">
        <v>45510</v>
      </c>
      <c r="AJ3138" s="5" t="s">
        <v>3624</v>
      </c>
      <c r="AK3138" s="5" t="s">
        <v>3620</v>
      </c>
    </row>
    <row r="3139" spans="35:37">
      <c r="AI3139" s="468">
        <v>45511</v>
      </c>
      <c r="AJ3139" s="5" t="s">
        <v>3626</v>
      </c>
      <c r="AK3139" s="5" t="s">
        <v>3622</v>
      </c>
    </row>
    <row r="3140" spans="35:37">
      <c r="AI3140" s="468">
        <v>45512</v>
      </c>
      <c r="AJ3140" s="5" t="s">
        <v>3628</v>
      </c>
      <c r="AK3140" s="5" t="s">
        <v>3623</v>
      </c>
    </row>
    <row r="3141" spans="35:37">
      <c r="AI3141" s="468">
        <v>45513</v>
      </c>
      <c r="AJ3141" s="5" t="s">
        <v>3617</v>
      </c>
      <c r="AK3141" s="5" t="s">
        <v>3625</v>
      </c>
    </row>
    <row r="3142" spans="35:37">
      <c r="AI3142" s="468">
        <v>45514</v>
      </c>
      <c r="AJ3142" s="5" t="s">
        <v>3619</v>
      </c>
      <c r="AK3142" s="5" t="s">
        <v>3627</v>
      </c>
    </row>
    <row r="3143" spans="35:37">
      <c r="AI3143" s="468">
        <v>45515</v>
      </c>
      <c r="AJ3143" s="5" t="s">
        <v>3621</v>
      </c>
      <c r="AK3143" s="5" t="s">
        <v>3618</v>
      </c>
    </row>
    <row r="3144" spans="35:37">
      <c r="AI3144" s="468">
        <v>45516</v>
      </c>
      <c r="AJ3144" s="5" t="s">
        <v>3579</v>
      </c>
      <c r="AK3144" s="5" t="s">
        <v>3620</v>
      </c>
    </row>
    <row r="3145" spans="35:37">
      <c r="AI3145" s="468">
        <v>45517</v>
      </c>
      <c r="AJ3145" s="5" t="s">
        <v>3624</v>
      </c>
      <c r="AK3145" s="5" t="s">
        <v>3622</v>
      </c>
    </row>
    <row r="3146" spans="35:37">
      <c r="AI3146" s="468">
        <v>45518</v>
      </c>
      <c r="AJ3146" s="5" t="s">
        <v>3626</v>
      </c>
      <c r="AK3146" s="5" t="s">
        <v>3623</v>
      </c>
    </row>
    <row r="3147" spans="35:37">
      <c r="AI3147" s="468">
        <v>45519</v>
      </c>
      <c r="AJ3147" s="5" t="s">
        <v>3628</v>
      </c>
      <c r="AK3147" s="5" t="s">
        <v>3625</v>
      </c>
    </row>
    <row r="3148" spans="35:37">
      <c r="AI3148" s="468">
        <v>45520</v>
      </c>
      <c r="AJ3148" s="5" t="s">
        <v>3617</v>
      </c>
      <c r="AK3148" s="5" t="s">
        <v>3627</v>
      </c>
    </row>
    <row r="3149" spans="35:37">
      <c r="AI3149" s="468">
        <v>45521</v>
      </c>
      <c r="AJ3149" s="5" t="s">
        <v>3619</v>
      </c>
      <c r="AK3149" s="5" t="s">
        <v>3618</v>
      </c>
    </row>
    <row r="3150" spans="35:37">
      <c r="AI3150" s="468">
        <v>45522</v>
      </c>
      <c r="AJ3150" s="5" t="s">
        <v>3621</v>
      </c>
      <c r="AK3150" s="5" t="s">
        <v>3620</v>
      </c>
    </row>
    <row r="3151" spans="35:37">
      <c r="AI3151" s="468">
        <v>45523</v>
      </c>
      <c r="AJ3151" s="5" t="s">
        <v>3579</v>
      </c>
      <c r="AK3151" s="5" t="s">
        <v>3622</v>
      </c>
    </row>
    <row r="3152" spans="35:37">
      <c r="AI3152" s="468">
        <v>45524</v>
      </c>
      <c r="AJ3152" s="5" t="s">
        <v>3624</v>
      </c>
      <c r="AK3152" s="5" t="s">
        <v>3623</v>
      </c>
    </row>
    <row r="3153" spans="35:37">
      <c r="AI3153" s="468">
        <v>45525</v>
      </c>
      <c r="AJ3153" s="5" t="s">
        <v>3626</v>
      </c>
      <c r="AK3153" s="5" t="s">
        <v>3625</v>
      </c>
    </row>
    <row r="3154" spans="35:37">
      <c r="AI3154" s="468">
        <v>45526</v>
      </c>
      <c r="AJ3154" s="5" t="s">
        <v>3628</v>
      </c>
      <c r="AK3154" s="5" t="s">
        <v>3627</v>
      </c>
    </row>
    <row r="3155" spans="35:37">
      <c r="AI3155" s="468">
        <v>45527</v>
      </c>
      <c r="AJ3155" s="5" t="s">
        <v>3617</v>
      </c>
      <c r="AK3155" s="5" t="s">
        <v>3618</v>
      </c>
    </row>
    <row r="3156" spans="35:37">
      <c r="AI3156" s="468">
        <v>45528</v>
      </c>
      <c r="AJ3156" s="5" t="s">
        <v>3619</v>
      </c>
      <c r="AK3156" s="5" t="s">
        <v>3620</v>
      </c>
    </row>
    <row r="3157" spans="35:37">
      <c r="AI3157" s="468">
        <v>45529</v>
      </c>
      <c r="AJ3157" s="5" t="s">
        <v>3621</v>
      </c>
      <c r="AK3157" s="5" t="s">
        <v>3622</v>
      </c>
    </row>
    <row r="3158" spans="35:37">
      <c r="AI3158" s="468">
        <v>45530</v>
      </c>
      <c r="AJ3158" s="5" t="s">
        <v>3579</v>
      </c>
      <c r="AK3158" s="5" t="s">
        <v>3623</v>
      </c>
    </row>
    <row r="3159" spans="35:37">
      <c r="AI3159" s="468">
        <v>45531</v>
      </c>
      <c r="AJ3159" s="5" t="s">
        <v>3624</v>
      </c>
      <c r="AK3159" s="5" t="s">
        <v>3625</v>
      </c>
    </row>
    <row r="3160" spans="35:37">
      <c r="AI3160" s="468">
        <v>45532</v>
      </c>
      <c r="AJ3160" s="5" t="s">
        <v>3626</v>
      </c>
      <c r="AK3160" s="5" t="s">
        <v>3627</v>
      </c>
    </row>
    <row r="3161" spans="35:37">
      <c r="AI3161" s="468">
        <v>45533</v>
      </c>
      <c r="AJ3161" s="5" t="s">
        <v>3628</v>
      </c>
      <c r="AK3161" s="5" t="s">
        <v>3618</v>
      </c>
    </row>
    <row r="3162" spans="35:37">
      <c r="AI3162" s="468">
        <v>45534</v>
      </c>
      <c r="AJ3162" s="5" t="s">
        <v>3617</v>
      </c>
      <c r="AK3162" s="5" t="s">
        <v>3620</v>
      </c>
    </row>
    <row r="3163" spans="35:37">
      <c r="AI3163" s="468">
        <v>45535</v>
      </c>
      <c r="AJ3163" s="5" t="s">
        <v>3619</v>
      </c>
      <c r="AK3163" s="5" t="s">
        <v>3622</v>
      </c>
    </row>
    <row r="3164" spans="35:37">
      <c r="AI3164" s="468">
        <v>45536</v>
      </c>
      <c r="AJ3164" s="5" t="s">
        <v>3621</v>
      </c>
      <c r="AK3164" s="5" t="s">
        <v>3623</v>
      </c>
    </row>
    <row r="3165" spans="35:37">
      <c r="AI3165" s="468">
        <v>45537</v>
      </c>
      <c r="AJ3165" s="5" t="s">
        <v>3579</v>
      </c>
      <c r="AK3165" s="5" t="s">
        <v>3625</v>
      </c>
    </row>
    <row r="3166" spans="35:37">
      <c r="AI3166" s="468">
        <v>45538</v>
      </c>
      <c r="AJ3166" s="5" t="s">
        <v>3624</v>
      </c>
      <c r="AK3166" s="5" t="s">
        <v>3618</v>
      </c>
    </row>
    <row r="3167" spans="35:37">
      <c r="AI3167" s="468">
        <v>45539</v>
      </c>
      <c r="AJ3167" s="5" t="s">
        <v>3626</v>
      </c>
      <c r="AK3167" s="5" t="s">
        <v>3620</v>
      </c>
    </row>
    <row r="3168" spans="35:37">
      <c r="AI3168" s="468">
        <v>45540</v>
      </c>
      <c r="AJ3168" s="5" t="s">
        <v>3628</v>
      </c>
      <c r="AK3168" s="5" t="s">
        <v>3622</v>
      </c>
    </row>
    <row r="3169" spans="35:37">
      <c r="AI3169" s="468">
        <v>45541</v>
      </c>
      <c r="AJ3169" s="5" t="s">
        <v>3617</v>
      </c>
      <c r="AK3169" s="5" t="s">
        <v>3623</v>
      </c>
    </row>
    <row r="3170" spans="35:37">
      <c r="AI3170" s="468">
        <v>45542</v>
      </c>
      <c r="AJ3170" s="5" t="s">
        <v>3619</v>
      </c>
      <c r="AK3170" s="5" t="s">
        <v>3625</v>
      </c>
    </row>
    <row r="3171" spans="35:37">
      <c r="AI3171" s="468">
        <v>45543</v>
      </c>
      <c r="AJ3171" s="5" t="s">
        <v>3621</v>
      </c>
      <c r="AK3171" s="5" t="s">
        <v>3627</v>
      </c>
    </row>
    <row r="3172" spans="35:37">
      <c r="AI3172" s="468">
        <v>45544</v>
      </c>
      <c r="AJ3172" s="5" t="s">
        <v>3579</v>
      </c>
      <c r="AK3172" s="5" t="s">
        <v>3618</v>
      </c>
    </row>
    <row r="3173" spans="35:37">
      <c r="AI3173" s="468">
        <v>45545</v>
      </c>
      <c r="AJ3173" s="5" t="s">
        <v>3624</v>
      </c>
      <c r="AK3173" s="5" t="s">
        <v>3620</v>
      </c>
    </row>
    <row r="3174" spans="35:37">
      <c r="AI3174" s="468">
        <v>45546</v>
      </c>
      <c r="AJ3174" s="5" t="s">
        <v>3626</v>
      </c>
      <c r="AK3174" s="5" t="s">
        <v>3622</v>
      </c>
    </row>
    <row r="3175" spans="35:37">
      <c r="AI3175" s="468">
        <v>45547</v>
      </c>
      <c r="AJ3175" s="5" t="s">
        <v>3628</v>
      </c>
      <c r="AK3175" s="5" t="s">
        <v>3623</v>
      </c>
    </row>
    <row r="3176" spans="35:37">
      <c r="AI3176" s="468">
        <v>45548</v>
      </c>
      <c r="AJ3176" s="5" t="s">
        <v>3617</v>
      </c>
      <c r="AK3176" s="5" t="s">
        <v>3625</v>
      </c>
    </row>
    <row r="3177" spans="35:37">
      <c r="AI3177" s="468">
        <v>45549</v>
      </c>
      <c r="AJ3177" s="5" t="s">
        <v>3619</v>
      </c>
      <c r="AK3177" s="5" t="s">
        <v>3627</v>
      </c>
    </row>
    <row r="3178" spans="35:37">
      <c r="AI3178" s="468">
        <v>45550</v>
      </c>
      <c r="AJ3178" s="5" t="s">
        <v>3621</v>
      </c>
      <c r="AK3178" s="5" t="s">
        <v>3618</v>
      </c>
    </row>
    <row r="3179" spans="35:37">
      <c r="AI3179" s="468">
        <v>45551</v>
      </c>
      <c r="AJ3179" s="5" t="s">
        <v>3579</v>
      </c>
      <c r="AK3179" s="5" t="s">
        <v>3620</v>
      </c>
    </row>
    <row r="3180" spans="35:37">
      <c r="AI3180" s="468">
        <v>45552</v>
      </c>
      <c r="AJ3180" s="5" t="s">
        <v>3624</v>
      </c>
      <c r="AK3180" s="5" t="s">
        <v>3622</v>
      </c>
    </row>
    <row r="3181" spans="35:37">
      <c r="AI3181" s="468">
        <v>45553</v>
      </c>
      <c r="AJ3181" s="5" t="s">
        <v>3626</v>
      </c>
      <c r="AK3181" s="5" t="s">
        <v>3623</v>
      </c>
    </row>
    <row r="3182" spans="35:37">
      <c r="AI3182" s="468">
        <v>45554</v>
      </c>
      <c r="AJ3182" s="5" t="s">
        <v>3628</v>
      </c>
      <c r="AK3182" s="5" t="s">
        <v>3625</v>
      </c>
    </row>
    <row r="3183" spans="35:37">
      <c r="AI3183" s="468">
        <v>45555</v>
      </c>
      <c r="AJ3183" s="5" t="s">
        <v>3617</v>
      </c>
      <c r="AK3183" s="5" t="s">
        <v>3627</v>
      </c>
    </row>
    <row r="3184" spans="35:37">
      <c r="AI3184" s="468">
        <v>45556</v>
      </c>
      <c r="AJ3184" s="5" t="s">
        <v>3619</v>
      </c>
      <c r="AK3184" s="5" t="s">
        <v>3618</v>
      </c>
    </row>
    <row r="3185" spans="35:37">
      <c r="AI3185" s="468">
        <v>45557</v>
      </c>
      <c r="AJ3185" s="5" t="s">
        <v>3621</v>
      </c>
      <c r="AK3185" s="5" t="s">
        <v>3620</v>
      </c>
    </row>
    <row r="3186" spans="35:37">
      <c r="AI3186" s="468">
        <v>45558</v>
      </c>
      <c r="AJ3186" s="5" t="s">
        <v>3579</v>
      </c>
      <c r="AK3186" s="5" t="s">
        <v>3622</v>
      </c>
    </row>
    <row r="3187" spans="35:37">
      <c r="AI3187" s="468">
        <v>45559</v>
      </c>
      <c r="AJ3187" s="5" t="s">
        <v>3624</v>
      </c>
      <c r="AK3187" s="5" t="s">
        <v>3623</v>
      </c>
    </row>
    <row r="3188" spans="35:37">
      <c r="AI3188" s="468">
        <v>45560</v>
      </c>
      <c r="AJ3188" s="5" t="s">
        <v>3626</v>
      </c>
      <c r="AK3188" s="5" t="s">
        <v>3625</v>
      </c>
    </row>
    <row r="3189" spans="35:37">
      <c r="AI3189" s="468">
        <v>45561</v>
      </c>
      <c r="AJ3189" s="5" t="s">
        <v>3628</v>
      </c>
      <c r="AK3189" s="5" t="s">
        <v>3627</v>
      </c>
    </row>
    <row r="3190" spans="35:37">
      <c r="AI3190" s="468">
        <v>45562</v>
      </c>
      <c r="AJ3190" s="5" t="s">
        <v>3617</v>
      </c>
      <c r="AK3190" s="5" t="s">
        <v>3618</v>
      </c>
    </row>
    <row r="3191" spans="35:37">
      <c r="AI3191" s="468">
        <v>45563</v>
      </c>
      <c r="AJ3191" s="5" t="s">
        <v>3619</v>
      </c>
      <c r="AK3191" s="5" t="s">
        <v>3620</v>
      </c>
    </row>
    <row r="3192" spans="35:37">
      <c r="AI3192" s="468">
        <v>45564</v>
      </c>
      <c r="AJ3192" s="5" t="s">
        <v>3621</v>
      </c>
      <c r="AK3192" s="5" t="s">
        <v>3622</v>
      </c>
    </row>
    <row r="3193" spans="35:37">
      <c r="AI3193" s="468">
        <v>45565</v>
      </c>
      <c r="AJ3193" s="5" t="s">
        <v>3579</v>
      </c>
      <c r="AK3193" s="5" t="s">
        <v>3623</v>
      </c>
    </row>
    <row r="3194" spans="35:37">
      <c r="AI3194" s="468">
        <v>45566</v>
      </c>
      <c r="AJ3194" s="5" t="s">
        <v>3624</v>
      </c>
      <c r="AK3194" s="5" t="s">
        <v>3625</v>
      </c>
    </row>
    <row r="3195" spans="35:37">
      <c r="AI3195" s="468">
        <v>45567</v>
      </c>
      <c r="AJ3195" s="5" t="s">
        <v>3626</v>
      </c>
      <c r="AK3195" s="5" t="s">
        <v>3627</v>
      </c>
    </row>
    <row r="3196" spans="35:37">
      <c r="AI3196" s="468">
        <v>45568</v>
      </c>
      <c r="AJ3196" s="5" t="s">
        <v>3628</v>
      </c>
      <c r="AK3196" s="5" t="s">
        <v>3620</v>
      </c>
    </row>
    <row r="3197" spans="35:37">
      <c r="AI3197" s="468">
        <v>45569</v>
      </c>
      <c r="AJ3197" s="5" t="s">
        <v>3617</v>
      </c>
      <c r="AK3197" s="5" t="s">
        <v>3622</v>
      </c>
    </row>
    <row r="3198" spans="35:37">
      <c r="AI3198" s="468">
        <v>45570</v>
      </c>
      <c r="AJ3198" s="5" t="s">
        <v>3619</v>
      </c>
      <c r="AK3198" s="5" t="s">
        <v>3623</v>
      </c>
    </row>
    <row r="3199" spans="35:37">
      <c r="AI3199" s="468">
        <v>45571</v>
      </c>
      <c r="AJ3199" s="5" t="s">
        <v>3621</v>
      </c>
      <c r="AK3199" s="5" t="s">
        <v>3625</v>
      </c>
    </row>
    <row r="3200" spans="35:37">
      <c r="AI3200" s="468">
        <v>45572</v>
      </c>
      <c r="AJ3200" s="5" t="s">
        <v>3579</v>
      </c>
      <c r="AK3200" s="5" t="s">
        <v>3627</v>
      </c>
    </row>
    <row r="3201" spans="35:37">
      <c r="AI3201" s="468">
        <v>45573</v>
      </c>
      <c r="AJ3201" s="5" t="s">
        <v>3624</v>
      </c>
      <c r="AK3201" s="5" t="s">
        <v>3618</v>
      </c>
    </row>
    <row r="3202" spans="35:37">
      <c r="AI3202" s="468">
        <v>45574</v>
      </c>
      <c r="AJ3202" s="5" t="s">
        <v>3626</v>
      </c>
      <c r="AK3202" s="5" t="s">
        <v>3620</v>
      </c>
    </row>
    <row r="3203" spans="35:37">
      <c r="AI3203" s="468">
        <v>45575</v>
      </c>
      <c r="AJ3203" s="5" t="s">
        <v>3628</v>
      </c>
      <c r="AK3203" s="5" t="s">
        <v>3622</v>
      </c>
    </row>
    <row r="3204" spans="35:37">
      <c r="AI3204" s="468">
        <v>45576</v>
      </c>
      <c r="AJ3204" s="5" t="s">
        <v>3617</v>
      </c>
      <c r="AK3204" s="5" t="s">
        <v>3623</v>
      </c>
    </row>
    <row r="3205" spans="35:37">
      <c r="AI3205" s="468">
        <v>45577</v>
      </c>
      <c r="AJ3205" s="5" t="s">
        <v>3619</v>
      </c>
      <c r="AK3205" s="5" t="s">
        <v>3625</v>
      </c>
    </row>
    <row r="3206" spans="35:37">
      <c r="AI3206" s="468">
        <v>45578</v>
      </c>
      <c r="AJ3206" s="5" t="s">
        <v>3621</v>
      </c>
      <c r="AK3206" s="5" t="s">
        <v>3627</v>
      </c>
    </row>
    <row r="3207" spans="35:37">
      <c r="AI3207" s="468">
        <v>45579</v>
      </c>
      <c r="AJ3207" s="5" t="s">
        <v>3579</v>
      </c>
      <c r="AK3207" s="5" t="s">
        <v>3618</v>
      </c>
    </row>
    <row r="3208" spans="35:37">
      <c r="AI3208" s="468">
        <v>45580</v>
      </c>
      <c r="AJ3208" s="5" t="s">
        <v>3624</v>
      </c>
      <c r="AK3208" s="5" t="s">
        <v>3620</v>
      </c>
    </row>
    <row r="3209" spans="35:37">
      <c r="AI3209" s="468">
        <v>45581</v>
      </c>
      <c r="AJ3209" s="5" t="s">
        <v>3626</v>
      </c>
      <c r="AK3209" s="5" t="s">
        <v>3622</v>
      </c>
    </row>
    <row r="3210" spans="35:37">
      <c r="AI3210" s="468">
        <v>45582</v>
      </c>
      <c r="AJ3210" s="5" t="s">
        <v>3628</v>
      </c>
      <c r="AK3210" s="5" t="s">
        <v>3623</v>
      </c>
    </row>
    <row r="3211" spans="35:37">
      <c r="AI3211" s="468">
        <v>45583</v>
      </c>
      <c r="AJ3211" s="5" t="s">
        <v>3617</v>
      </c>
      <c r="AK3211" s="5" t="s">
        <v>3625</v>
      </c>
    </row>
    <row r="3212" spans="35:37">
      <c r="AI3212" s="468">
        <v>45584</v>
      </c>
      <c r="AJ3212" s="5" t="s">
        <v>3619</v>
      </c>
      <c r="AK3212" s="5" t="s">
        <v>3627</v>
      </c>
    </row>
    <row r="3213" spans="35:37">
      <c r="AI3213" s="468">
        <v>45585</v>
      </c>
      <c r="AJ3213" s="5" t="s">
        <v>3621</v>
      </c>
      <c r="AK3213" s="5" t="s">
        <v>3618</v>
      </c>
    </row>
    <row r="3214" spans="35:37">
      <c r="AI3214" s="468">
        <v>45586</v>
      </c>
      <c r="AJ3214" s="5" t="s">
        <v>3579</v>
      </c>
      <c r="AK3214" s="5" t="s">
        <v>3620</v>
      </c>
    </row>
    <row r="3215" spans="35:37">
      <c r="AI3215" s="468">
        <v>45587</v>
      </c>
      <c r="AJ3215" s="5" t="s">
        <v>3624</v>
      </c>
      <c r="AK3215" s="5" t="s">
        <v>3622</v>
      </c>
    </row>
    <row r="3216" spans="35:37">
      <c r="AI3216" s="468">
        <v>45588</v>
      </c>
      <c r="AJ3216" s="5" t="s">
        <v>3626</v>
      </c>
      <c r="AK3216" s="5" t="s">
        <v>3623</v>
      </c>
    </row>
    <row r="3217" spans="35:37">
      <c r="AI3217" s="468">
        <v>45589</v>
      </c>
      <c r="AJ3217" s="5" t="s">
        <v>3628</v>
      </c>
      <c r="AK3217" s="5" t="s">
        <v>3625</v>
      </c>
    </row>
    <row r="3218" spans="35:37">
      <c r="AI3218" s="468">
        <v>45590</v>
      </c>
      <c r="AJ3218" s="5" t="s">
        <v>3617</v>
      </c>
      <c r="AK3218" s="5" t="s">
        <v>3627</v>
      </c>
    </row>
    <row r="3219" spans="35:37">
      <c r="AI3219" s="468">
        <v>45591</v>
      </c>
      <c r="AJ3219" s="5" t="s">
        <v>3619</v>
      </c>
      <c r="AK3219" s="5" t="s">
        <v>3618</v>
      </c>
    </row>
    <row r="3220" spans="35:37">
      <c r="AI3220" s="468">
        <v>45592</v>
      </c>
      <c r="AJ3220" s="5" t="s">
        <v>3621</v>
      </c>
      <c r="AK3220" s="5" t="s">
        <v>3620</v>
      </c>
    </row>
    <row r="3221" spans="35:37">
      <c r="AI3221" s="468">
        <v>45593</v>
      </c>
      <c r="AJ3221" s="5" t="s">
        <v>3579</v>
      </c>
      <c r="AK3221" s="5" t="s">
        <v>3622</v>
      </c>
    </row>
    <row r="3222" spans="35:37">
      <c r="AI3222" s="468">
        <v>45594</v>
      </c>
      <c r="AJ3222" s="5" t="s">
        <v>3624</v>
      </c>
      <c r="AK3222" s="5" t="s">
        <v>3623</v>
      </c>
    </row>
    <row r="3223" spans="35:37">
      <c r="AI3223" s="468">
        <v>45595</v>
      </c>
      <c r="AJ3223" s="5" t="s">
        <v>3626</v>
      </c>
      <c r="AK3223" s="5" t="s">
        <v>3625</v>
      </c>
    </row>
    <row r="3224" spans="35:37">
      <c r="AI3224" s="468">
        <v>45596</v>
      </c>
      <c r="AJ3224" s="5" t="s">
        <v>3628</v>
      </c>
      <c r="AK3224" s="5" t="s">
        <v>3627</v>
      </c>
    </row>
    <row r="3225" spans="35:37">
      <c r="AI3225" s="468">
        <v>45597</v>
      </c>
      <c r="AJ3225" s="5" t="s">
        <v>3617</v>
      </c>
      <c r="AK3225" s="5" t="s">
        <v>3622</v>
      </c>
    </row>
    <row r="3226" spans="35:37">
      <c r="AI3226" s="468">
        <v>45598</v>
      </c>
      <c r="AJ3226" s="5" t="s">
        <v>3619</v>
      </c>
      <c r="AK3226" s="5" t="s">
        <v>3623</v>
      </c>
    </row>
    <row r="3227" spans="35:37">
      <c r="AI3227" s="468">
        <v>45599</v>
      </c>
      <c r="AJ3227" s="5" t="s">
        <v>3621</v>
      </c>
      <c r="AK3227" s="5" t="s">
        <v>3625</v>
      </c>
    </row>
    <row r="3228" spans="35:37">
      <c r="AI3228" s="468">
        <v>45600</v>
      </c>
      <c r="AJ3228" s="5" t="s">
        <v>3579</v>
      </c>
      <c r="AK3228" s="5" t="s">
        <v>3627</v>
      </c>
    </row>
    <row r="3229" spans="35:37">
      <c r="AI3229" s="468">
        <v>45601</v>
      </c>
      <c r="AJ3229" s="5" t="s">
        <v>3624</v>
      </c>
      <c r="AK3229" s="5" t="s">
        <v>3618</v>
      </c>
    </row>
    <row r="3230" spans="35:37">
      <c r="AI3230" s="468">
        <v>45602</v>
      </c>
      <c r="AJ3230" s="5" t="s">
        <v>3626</v>
      </c>
      <c r="AK3230" s="5" t="s">
        <v>3620</v>
      </c>
    </row>
    <row r="3231" spans="35:37">
      <c r="AI3231" s="468">
        <v>45603</v>
      </c>
      <c r="AJ3231" s="5" t="s">
        <v>3628</v>
      </c>
      <c r="AK3231" s="5" t="s">
        <v>3622</v>
      </c>
    </row>
    <row r="3232" spans="35:37">
      <c r="AI3232" s="468">
        <v>45604</v>
      </c>
      <c r="AJ3232" s="5" t="s">
        <v>3617</v>
      </c>
      <c r="AK3232" s="5" t="s">
        <v>3623</v>
      </c>
    </row>
    <row r="3233" spans="35:37">
      <c r="AI3233" s="468">
        <v>45605</v>
      </c>
      <c r="AJ3233" s="5" t="s">
        <v>3619</v>
      </c>
      <c r="AK3233" s="5" t="s">
        <v>3625</v>
      </c>
    </row>
    <row r="3234" spans="35:37">
      <c r="AI3234" s="468">
        <v>45606</v>
      </c>
      <c r="AJ3234" s="5" t="s">
        <v>3621</v>
      </c>
      <c r="AK3234" s="5" t="s">
        <v>3627</v>
      </c>
    </row>
    <row r="3235" spans="35:37">
      <c r="AI3235" s="468">
        <v>45607</v>
      </c>
      <c r="AJ3235" s="5" t="s">
        <v>3579</v>
      </c>
      <c r="AK3235" s="5" t="s">
        <v>3618</v>
      </c>
    </row>
    <row r="3236" spans="35:37">
      <c r="AI3236" s="468">
        <v>45608</v>
      </c>
      <c r="AJ3236" s="5" t="s">
        <v>3624</v>
      </c>
      <c r="AK3236" s="5" t="s">
        <v>3620</v>
      </c>
    </row>
    <row r="3237" spans="35:37">
      <c r="AI3237" s="468">
        <v>45609</v>
      </c>
      <c r="AJ3237" s="5" t="s">
        <v>3626</v>
      </c>
      <c r="AK3237" s="5" t="s">
        <v>3622</v>
      </c>
    </row>
    <row r="3238" spans="35:37">
      <c r="AI3238" s="468">
        <v>45610</v>
      </c>
      <c r="AJ3238" s="5" t="s">
        <v>3628</v>
      </c>
      <c r="AK3238" s="5" t="s">
        <v>3623</v>
      </c>
    </row>
    <row r="3239" spans="35:37">
      <c r="AI3239" s="468">
        <v>45611</v>
      </c>
      <c r="AJ3239" s="5" t="s">
        <v>3617</v>
      </c>
      <c r="AK3239" s="5" t="s">
        <v>3625</v>
      </c>
    </row>
    <row r="3240" spans="35:37">
      <c r="AI3240" s="468">
        <v>45612</v>
      </c>
      <c r="AJ3240" s="5" t="s">
        <v>3619</v>
      </c>
      <c r="AK3240" s="5" t="s">
        <v>3627</v>
      </c>
    </row>
    <row r="3241" spans="35:37">
      <c r="AI3241" s="468">
        <v>45613</v>
      </c>
      <c r="AJ3241" s="5" t="s">
        <v>3621</v>
      </c>
      <c r="AK3241" s="5" t="s">
        <v>3618</v>
      </c>
    </row>
    <row r="3242" spans="35:37">
      <c r="AI3242" s="468">
        <v>45614</v>
      </c>
      <c r="AJ3242" s="5" t="s">
        <v>3579</v>
      </c>
      <c r="AK3242" s="5" t="s">
        <v>3620</v>
      </c>
    </row>
    <row r="3243" spans="35:37">
      <c r="AI3243" s="468">
        <v>45615</v>
      </c>
      <c r="AJ3243" s="5" t="s">
        <v>3624</v>
      </c>
      <c r="AK3243" s="5" t="s">
        <v>3622</v>
      </c>
    </row>
    <row r="3244" spans="35:37">
      <c r="AI3244" s="468">
        <v>45616</v>
      </c>
      <c r="AJ3244" s="5" t="s">
        <v>3626</v>
      </c>
      <c r="AK3244" s="5" t="s">
        <v>3623</v>
      </c>
    </row>
    <row r="3245" spans="35:37">
      <c r="AI3245" s="468">
        <v>45617</v>
      </c>
      <c r="AJ3245" s="5" t="s">
        <v>3628</v>
      </c>
      <c r="AK3245" s="5" t="s">
        <v>3625</v>
      </c>
    </row>
    <row r="3246" spans="35:37">
      <c r="AI3246" s="468">
        <v>45618</v>
      </c>
      <c r="AJ3246" s="5" t="s">
        <v>3617</v>
      </c>
      <c r="AK3246" s="5" t="s">
        <v>3627</v>
      </c>
    </row>
    <row r="3247" spans="35:37">
      <c r="AI3247" s="468">
        <v>45619</v>
      </c>
      <c r="AJ3247" s="5" t="s">
        <v>3619</v>
      </c>
      <c r="AK3247" s="5" t="s">
        <v>3618</v>
      </c>
    </row>
    <row r="3248" spans="35:37">
      <c r="AI3248" s="468">
        <v>45620</v>
      </c>
      <c r="AJ3248" s="5" t="s">
        <v>3621</v>
      </c>
      <c r="AK3248" s="5" t="s">
        <v>3620</v>
      </c>
    </row>
    <row r="3249" spans="35:37">
      <c r="AI3249" s="468">
        <v>45621</v>
      </c>
      <c r="AJ3249" s="5" t="s">
        <v>3579</v>
      </c>
      <c r="AK3249" s="5" t="s">
        <v>3622</v>
      </c>
    </row>
    <row r="3250" spans="35:37">
      <c r="AI3250" s="468">
        <v>45622</v>
      </c>
      <c r="AJ3250" s="5" t="s">
        <v>3624</v>
      </c>
      <c r="AK3250" s="5" t="s">
        <v>3623</v>
      </c>
    </row>
    <row r="3251" spans="35:37">
      <c r="AI3251" s="468">
        <v>45623</v>
      </c>
      <c r="AJ3251" s="5" t="s">
        <v>3626</v>
      </c>
      <c r="AK3251" s="5" t="s">
        <v>3625</v>
      </c>
    </row>
    <row r="3252" spans="35:37">
      <c r="AI3252" s="468">
        <v>45624</v>
      </c>
      <c r="AJ3252" s="5" t="s">
        <v>3628</v>
      </c>
      <c r="AK3252" s="5" t="s">
        <v>3627</v>
      </c>
    </row>
    <row r="3253" spans="35:37">
      <c r="AI3253" s="468">
        <v>45625</v>
      </c>
      <c r="AJ3253" s="5" t="s">
        <v>3617</v>
      </c>
      <c r="AK3253" s="5" t="s">
        <v>3618</v>
      </c>
    </row>
    <row r="3254" spans="35:37">
      <c r="AI3254" s="468">
        <v>45626</v>
      </c>
      <c r="AJ3254" s="5" t="s">
        <v>3619</v>
      </c>
      <c r="AK3254" s="5" t="s">
        <v>3620</v>
      </c>
    </row>
    <row r="3255" spans="35:37">
      <c r="AI3255" s="468">
        <v>45627</v>
      </c>
      <c r="AJ3255" s="5" t="s">
        <v>3621</v>
      </c>
      <c r="AK3255" s="5" t="s">
        <v>3623</v>
      </c>
    </row>
    <row r="3256" spans="35:37">
      <c r="AI3256" s="468">
        <v>45628</v>
      </c>
      <c r="AJ3256" s="5" t="s">
        <v>3579</v>
      </c>
      <c r="AK3256" s="5" t="s">
        <v>3625</v>
      </c>
    </row>
    <row r="3257" spans="35:37">
      <c r="AI3257" s="468">
        <v>45629</v>
      </c>
      <c r="AJ3257" s="5" t="s">
        <v>3624</v>
      </c>
      <c r="AK3257" s="5" t="s">
        <v>3627</v>
      </c>
    </row>
    <row r="3258" spans="35:37">
      <c r="AI3258" s="468">
        <v>45630</v>
      </c>
      <c r="AJ3258" s="5" t="s">
        <v>3626</v>
      </c>
      <c r="AK3258" s="5" t="s">
        <v>3618</v>
      </c>
    </row>
    <row r="3259" spans="35:37">
      <c r="AI3259" s="468">
        <v>45631</v>
      </c>
      <c r="AJ3259" s="5" t="s">
        <v>3628</v>
      </c>
      <c r="AK3259" s="5" t="s">
        <v>3620</v>
      </c>
    </row>
    <row r="3260" spans="35:37">
      <c r="AI3260" s="468">
        <v>45632</v>
      </c>
      <c r="AJ3260" s="5" t="s">
        <v>3617</v>
      </c>
      <c r="AK3260" s="5" t="s">
        <v>3622</v>
      </c>
    </row>
    <row r="3261" spans="35:37">
      <c r="AI3261" s="468">
        <v>45633</v>
      </c>
      <c r="AJ3261" s="5" t="s">
        <v>3619</v>
      </c>
      <c r="AK3261" s="5" t="s">
        <v>3623</v>
      </c>
    </row>
    <row r="3262" spans="35:37">
      <c r="AI3262" s="468">
        <v>45634</v>
      </c>
      <c r="AJ3262" s="5" t="s">
        <v>3621</v>
      </c>
      <c r="AK3262" s="5" t="s">
        <v>3625</v>
      </c>
    </row>
    <row r="3263" spans="35:37">
      <c r="AI3263" s="468">
        <v>45635</v>
      </c>
      <c r="AJ3263" s="5" t="s">
        <v>3579</v>
      </c>
      <c r="AK3263" s="5" t="s">
        <v>3627</v>
      </c>
    </row>
    <row r="3264" spans="35:37">
      <c r="AI3264" s="468">
        <v>45636</v>
      </c>
      <c r="AJ3264" s="5" t="s">
        <v>3624</v>
      </c>
      <c r="AK3264" s="5" t="s">
        <v>3618</v>
      </c>
    </row>
    <row r="3265" spans="35:37">
      <c r="AI3265" s="468">
        <v>45637</v>
      </c>
      <c r="AJ3265" s="5" t="s">
        <v>3626</v>
      </c>
      <c r="AK3265" s="5" t="s">
        <v>3620</v>
      </c>
    </row>
    <row r="3266" spans="35:37">
      <c r="AI3266" s="468">
        <v>45638</v>
      </c>
      <c r="AJ3266" s="5" t="s">
        <v>3628</v>
      </c>
      <c r="AK3266" s="5" t="s">
        <v>3622</v>
      </c>
    </row>
    <row r="3267" spans="35:37">
      <c r="AI3267" s="468">
        <v>45639</v>
      </c>
      <c r="AJ3267" s="5" t="s">
        <v>3617</v>
      </c>
      <c r="AK3267" s="5" t="s">
        <v>3623</v>
      </c>
    </row>
    <row r="3268" spans="35:37">
      <c r="AI3268" s="468">
        <v>45640</v>
      </c>
      <c r="AJ3268" s="5" t="s">
        <v>3619</v>
      </c>
      <c r="AK3268" s="5" t="s">
        <v>3625</v>
      </c>
    </row>
    <row r="3269" spans="35:37">
      <c r="AI3269" s="468">
        <v>45641</v>
      </c>
      <c r="AJ3269" s="5" t="s">
        <v>3621</v>
      </c>
      <c r="AK3269" s="5" t="s">
        <v>3627</v>
      </c>
    </row>
    <row r="3270" spans="35:37">
      <c r="AI3270" s="468">
        <v>45642</v>
      </c>
      <c r="AJ3270" s="5" t="s">
        <v>3579</v>
      </c>
      <c r="AK3270" s="5" t="s">
        <v>3618</v>
      </c>
    </row>
    <row r="3271" spans="35:37">
      <c r="AI3271" s="468">
        <v>45643</v>
      </c>
      <c r="AJ3271" s="5" t="s">
        <v>3624</v>
      </c>
      <c r="AK3271" s="5" t="s">
        <v>3620</v>
      </c>
    </row>
    <row r="3272" spans="35:37">
      <c r="AI3272" s="468">
        <v>45644</v>
      </c>
      <c r="AJ3272" s="5" t="s">
        <v>3626</v>
      </c>
      <c r="AK3272" s="5" t="s">
        <v>3622</v>
      </c>
    </row>
    <row r="3273" spans="35:37">
      <c r="AI3273" s="468">
        <v>45645</v>
      </c>
      <c r="AJ3273" s="5" t="s">
        <v>3628</v>
      </c>
      <c r="AK3273" s="5" t="s">
        <v>3623</v>
      </c>
    </row>
    <row r="3274" spans="35:37">
      <c r="AI3274" s="468">
        <v>45646</v>
      </c>
      <c r="AJ3274" s="5" t="s">
        <v>3617</v>
      </c>
      <c r="AK3274" s="5" t="s">
        <v>3625</v>
      </c>
    </row>
    <row r="3275" spans="35:37">
      <c r="AI3275" s="468">
        <v>45647</v>
      </c>
      <c r="AJ3275" s="5" t="s">
        <v>3619</v>
      </c>
      <c r="AK3275" s="5" t="s">
        <v>3627</v>
      </c>
    </row>
    <row r="3276" spans="35:37">
      <c r="AI3276" s="468">
        <v>45648</v>
      </c>
      <c r="AJ3276" s="5" t="s">
        <v>3621</v>
      </c>
      <c r="AK3276" s="5" t="s">
        <v>3618</v>
      </c>
    </row>
    <row r="3277" spans="35:37">
      <c r="AI3277" s="468">
        <v>45649</v>
      </c>
      <c r="AJ3277" s="5" t="s">
        <v>3579</v>
      </c>
      <c r="AK3277" s="5" t="s">
        <v>3620</v>
      </c>
    </row>
    <row r="3278" spans="35:37">
      <c r="AI3278" s="468">
        <v>45650</v>
      </c>
      <c r="AJ3278" s="5" t="s">
        <v>3624</v>
      </c>
      <c r="AK3278" s="5" t="s">
        <v>3622</v>
      </c>
    </row>
    <row r="3279" spans="35:37">
      <c r="AI3279" s="468">
        <v>45651</v>
      </c>
      <c r="AJ3279" s="5" t="s">
        <v>3626</v>
      </c>
      <c r="AK3279" s="5" t="s">
        <v>3623</v>
      </c>
    </row>
    <row r="3280" spans="35:37">
      <c r="AI3280" s="468">
        <v>45652</v>
      </c>
      <c r="AJ3280" s="5" t="s">
        <v>3628</v>
      </c>
      <c r="AK3280" s="5" t="s">
        <v>3625</v>
      </c>
    </row>
    <row r="3281" spans="35:37">
      <c r="AI3281" s="468">
        <v>45653</v>
      </c>
      <c r="AJ3281" s="5" t="s">
        <v>3617</v>
      </c>
      <c r="AK3281" s="5" t="s">
        <v>3627</v>
      </c>
    </row>
    <row r="3282" spans="35:37">
      <c r="AI3282" s="468">
        <v>45654</v>
      </c>
      <c r="AJ3282" s="5" t="s">
        <v>3619</v>
      </c>
      <c r="AK3282" s="5" t="s">
        <v>3618</v>
      </c>
    </row>
    <row r="3283" spans="35:37">
      <c r="AI3283" s="468">
        <v>45655</v>
      </c>
      <c r="AJ3283" s="5" t="s">
        <v>3621</v>
      </c>
      <c r="AK3283" s="5" t="s">
        <v>3620</v>
      </c>
    </row>
    <row r="3284" spans="35:37">
      <c r="AI3284" s="468">
        <v>45656</v>
      </c>
      <c r="AJ3284" s="5" t="s">
        <v>3579</v>
      </c>
      <c r="AK3284" s="5" t="s">
        <v>3622</v>
      </c>
    </row>
    <row r="3285" spans="35:37">
      <c r="AI3285" s="468">
        <v>45657</v>
      </c>
      <c r="AJ3285" s="5" t="s">
        <v>3624</v>
      </c>
      <c r="AK3285" s="5" t="s">
        <v>3625</v>
      </c>
    </row>
    <row r="3286" spans="35:37">
      <c r="AI3286" s="468">
        <v>45658</v>
      </c>
      <c r="AJ3286" s="5" t="s">
        <v>3626</v>
      </c>
      <c r="AK3286" s="5" t="s">
        <v>3627</v>
      </c>
    </row>
    <row r="3287" spans="35:37">
      <c r="AI3287" s="468">
        <v>45659</v>
      </c>
      <c r="AJ3287" s="5" t="s">
        <v>3628</v>
      </c>
      <c r="AK3287" s="5" t="s">
        <v>3618</v>
      </c>
    </row>
    <row r="3288" spans="35:37">
      <c r="AI3288" s="468">
        <v>45660</v>
      </c>
      <c r="AJ3288" s="5" t="s">
        <v>3617</v>
      </c>
      <c r="AK3288" s="5" t="s">
        <v>3620</v>
      </c>
    </row>
    <row r="3289" spans="35:37">
      <c r="AI3289" s="468">
        <v>45661</v>
      </c>
      <c r="AJ3289" s="5" t="s">
        <v>3619</v>
      </c>
      <c r="AK3289" s="5" t="s">
        <v>3622</v>
      </c>
    </row>
    <row r="3290" spans="35:37">
      <c r="AI3290" s="468">
        <v>45662</v>
      </c>
      <c r="AJ3290" s="5" t="s">
        <v>3621</v>
      </c>
      <c r="AK3290" s="5" t="s">
        <v>3623</v>
      </c>
    </row>
    <row r="3291" spans="35:37">
      <c r="AI3291" s="468">
        <v>45663</v>
      </c>
      <c r="AJ3291" s="5" t="s">
        <v>3579</v>
      </c>
      <c r="AK3291" s="5" t="s">
        <v>3625</v>
      </c>
    </row>
    <row r="3292" spans="35:37">
      <c r="AI3292" s="468">
        <v>45664</v>
      </c>
      <c r="AJ3292" s="5" t="s">
        <v>3624</v>
      </c>
      <c r="AK3292" s="5" t="s">
        <v>3627</v>
      </c>
    </row>
    <row r="3293" spans="35:37">
      <c r="AI3293" s="468">
        <v>45665</v>
      </c>
      <c r="AJ3293" s="5" t="s">
        <v>3626</v>
      </c>
      <c r="AK3293" s="5" t="s">
        <v>3618</v>
      </c>
    </row>
    <row r="3294" spans="35:37">
      <c r="AI3294" s="468">
        <v>45666</v>
      </c>
      <c r="AJ3294" s="5" t="s">
        <v>3628</v>
      </c>
      <c r="AK3294" s="5" t="s">
        <v>3620</v>
      </c>
    </row>
    <row r="3295" spans="35:37">
      <c r="AI3295" s="468">
        <v>45667</v>
      </c>
      <c r="AJ3295" s="5" t="s">
        <v>3617</v>
      </c>
      <c r="AK3295" s="5" t="s">
        <v>3622</v>
      </c>
    </row>
    <row r="3296" spans="35:37">
      <c r="AI3296" s="468">
        <v>45668</v>
      </c>
      <c r="AJ3296" s="5" t="s">
        <v>3619</v>
      </c>
      <c r="AK3296" s="5" t="s">
        <v>3623</v>
      </c>
    </row>
    <row r="3297" spans="35:37">
      <c r="AI3297" s="468">
        <v>45669</v>
      </c>
      <c r="AJ3297" s="5" t="s">
        <v>3621</v>
      </c>
      <c r="AK3297" s="5" t="s">
        <v>3625</v>
      </c>
    </row>
    <row r="3298" spans="35:37">
      <c r="AI3298" s="468">
        <v>45670</v>
      </c>
      <c r="AJ3298" s="5" t="s">
        <v>3579</v>
      </c>
      <c r="AK3298" s="5" t="s">
        <v>3627</v>
      </c>
    </row>
    <row r="3299" spans="35:37">
      <c r="AI3299" s="468">
        <v>45671</v>
      </c>
      <c r="AJ3299" s="5" t="s">
        <v>3624</v>
      </c>
      <c r="AK3299" s="5" t="s">
        <v>3618</v>
      </c>
    </row>
    <row r="3300" spans="35:37">
      <c r="AI3300" s="468">
        <v>45672</v>
      </c>
      <c r="AJ3300" s="5" t="s">
        <v>3626</v>
      </c>
      <c r="AK3300" s="5" t="s">
        <v>3620</v>
      </c>
    </row>
    <row r="3301" spans="35:37">
      <c r="AI3301" s="468">
        <v>45673</v>
      </c>
      <c r="AJ3301" s="5" t="s">
        <v>3628</v>
      </c>
      <c r="AK3301" s="5" t="s">
        <v>3622</v>
      </c>
    </row>
    <row r="3302" spans="35:37">
      <c r="AI3302" s="468">
        <v>45674</v>
      </c>
      <c r="AJ3302" s="5" t="s">
        <v>3617</v>
      </c>
      <c r="AK3302" s="5" t="s">
        <v>3623</v>
      </c>
    </row>
    <row r="3303" spans="35:37">
      <c r="AI3303" s="468">
        <v>45675</v>
      </c>
      <c r="AJ3303" s="5" t="s">
        <v>3619</v>
      </c>
      <c r="AK3303" s="5" t="s">
        <v>3625</v>
      </c>
    </row>
    <row r="3304" spans="35:37">
      <c r="AI3304" s="468">
        <v>45676</v>
      </c>
      <c r="AJ3304" s="5" t="s">
        <v>3621</v>
      </c>
      <c r="AK3304" s="5" t="s">
        <v>3627</v>
      </c>
    </row>
    <row r="3305" spans="35:37">
      <c r="AI3305" s="468">
        <v>45677</v>
      </c>
      <c r="AJ3305" s="5" t="s">
        <v>3579</v>
      </c>
      <c r="AK3305" s="5" t="s">
        <v>3618</v>
      </c>
    </row>
    <row r="3306" spans="35:37">
      <c r="AI3306" s="468">
        <v>45678</v>
      </c>
      <c r="AJ3306" s="5" t="s">
        <v>3624</v>
      </c>
      <c r="AK3306" s="5" t="s">
        <v>3620</v>
      </c>
    </row>
    <row r="3307" spans="35:37">
      <c r="AI3307" s="468">
        <v>45679</v>
      </c>
      <c r="AJ3307" s="5" t="s">
        <v>3626</v>
      </c>
      <c r="AK3307" s="5" t="s">
        <v>3622</v>
      </c>
    </row>
    <row r="3308" spans="35:37">
      <c r="AI3308" s="468">
        <v>45680</v>
      </c>
      <c r="AJ3308" s="5" t="s">
        <v>3628</v>
      </c>
      <c r="AK3308" s="5" t="s">
        <v>3623</v>
      </c>
    </row>
    <row r="3309" spans="35:37">
      <c r="AI3309" s="468">
        <v>45681</v>
      </c>
      <c r="AJ3309" s="5" t="s">
        <v>3617</v>
      </c>
      <c r="AK3309" s="5" t="s">
        <v>3625</v>
      </c>
    </row>
    <row r="3310" spans="35:37">
      <c r="AI3310" s="468">
        <v>45682</v>
      </c>
      <c r="AJ3310" s="5" t="s">
        <v>3619</v>
      </c>
      <c r="AK3310" s="5" t="s">
        <v>3627</v>
      </c>
    </row>
    <row r="3311" spans="35:37">
      <c r="AI3311" s="468">
        <v>45683</v>
      </c>
      <c r="AJ3311" s="5" t="s">
        <v>3621</v>
      </c>
      <c r="AK3311" s="5" t="s">
        <v>3618</v>
      </c>
    </row>
    <row r="3312" spans="35:37">
      <c r="AI3312" s="468">
        <v>45684</v>
      </c>
      <c r="AJ3312" s="5" t="s">
        <v>3579</v>
      </c>
      <c r="AK3312" s="5" t="s">
        <v>3620</v>
      </c>
    </row>
    <row r="3313" spans="35:37">
      <c r="AI3313" s="468">
        <v>45685</v>
      </c>
      <c r="AJ3313" s="5" t="s">
        <v>3624</v>
      </c>
      <c r="AK3313" s="5" t="s">
        <v>3622</v>
      </c>
    </row>
    <row r="3314" spans="35:37">
      <c r="AI3314" s="468">
        <v>45686</v>
      </c>
      <c r="AJ3314" s="5" t="s">
        <v>3626</v>
      </c>
      <c r="AK3314" s="5" t="s">
        <v>3627</v>
      </c>
    </row>
    <row r="3315" spans="35:37">
      <c r="AI3315" s="468">
        <v>45687</v>
      </c>
      <c r="AJ3315" s="5" t="s">
        <v>3628</v>
      </c>
      <c r="AK3315" s="5" t="s">
        <v>3618</v>
      </c>
    </row>
    <row r="3316" spans="35:37">
      <c r="AI3316" s="468">
        <v>45688</v>
      </c>
      <c r="AJ3316" s="5" t="s">
        <v>3617</v>
      </c>
      <c r="AK3316" s="5" t="s">
        <v>3620</v>
      </c>
    </row>
    <row r="3317" spans="35:37">
      <c r="AI3317" s="468">
        <v>45689</v>
      </c>
      <c r="AJ3317" s="5" t="s">
        <v>3619</v>
      </c>
      <c r="AK3317" s="5" t="s">
        <v>3622</v>
      </c>
    </row>
    <row r="3318" spans="35:37">
      <c r="AI3318" s="468">
        <v>45690</v>
      </c>
      <c r="AJ3318" s="5" t="s">
        <v>3621</v>
      </c>
      <c r="AK3318" s="5" t="s">
        <v>3623</v>
      </c>
    </row>
    <row r="3319" spans="35:37">
      <c r="AI3319" s="468">
        <v>45691</v>
      </c>
      <c r="AJ3319" s="5" t="s">
        <v>3579</v>
      </c>
      <c r="AK3319" s="5" t="s">
        <v>3625</v>
      </c>
    </row>
    <row r="3320" spans="35:37">
      <c r="AI3320" s="468">
        <v>45692</v>
      </c>
      <c r="AJ3320" s="5" t="s">
        <v>3624</v>
      </c>
      <c r="AK3320" s="5" t="s">
        <v>3627</v>
      </c>
    </row>
    <row r="3321" spans="35:37">
      <c r="AI3321" s="468">
        <v>45693</v>
      </c>
      <c r="AJ3321" s="5" t="s">
        <v>3626</v>
      </c>
      <c r="AK3321" s="5" t="s">
        <v>3618</v>
      </c>
    </row>
    <row r="3322" spans="35:37">
      <c r="AI3322" s="468">
        <v>45694</v>
      </c>
      <c r="AJ3322" s="5" t="s">
        <v>3628</v>
      </c>
      <c r="AK3322" s="5" t="s">
        <v>3620</v>
      </c>
    </row>
    <row r="3323" spans="35:37">
      <c r="AI3323" s="468">
        <v>45695</v>
      </c>
      <c r="AJ3323" s="5" t="s">
        <v>3617</v>
      </c>
      <c r="AK3323" s="5" t="s">
        <v>3622</v>
      </c>
    </row>
    <row r="3324" spans="35:37">
      <c r="AI3324" s="468">
        <v>45696</v>
      </c>
      <c r="AJ3324" s="5" t="s">
        <v>3619</v>
      </c>
      <c r="AK3324" s="5" t="s">
        <v>3623</v>
      </c>
    </row>
    <row r="3325" spans="35:37">
      <c r="AI3325" s="468">
        <v>45697</v>
      </c>
      <c r="AJ3325" s="5" t="s">
        <v>3621</v>
      </c>
      <c r="AK3325" s="5" t="s">
        <v>3625</v>
      </c>
    </row>
    <row r="3326" spans="35:37">
      <c r="AI3326" s="468">
        <v>45698</v>
      </c>
      <c r="AJ3326" s="5" t="s">
        <v>3579</v>
      </c>
      <c r="AK3326" s="5" t="s">
        <v>3627</v>
      </c>
    </row>
    <row r="3327" spans="35:37">
      <c r="AI3327" s="468">
        <v>45699</v>
      </c>
      <c r="AJ3327" s="5" t="s">
        <v>3624</v>
      </c>
      <c r="AK3327" s="5" t="s">
        <v>3618</v>
      </c>
    </row>
    <row r="3328" spans="35:37">
      <c r="AI3328" s="468">
        <v>45700</v>
      </c>
      <c r="AJ3328" s="5" t="s">
        <v>3626</v>
      </c>
      <c r="AK3328" s="5" t="s">
        <v>3620</v>
      </c>
    </row>
    <row r="3329" spans="35:37">
      <c r="AI3329" s="468">
        <v>45701</v>
      </c>
      <c r="AJ3329" s="5" t="s">
        <v>3628</v>
      </c>
      <c r="AK3329" s="5" t="s">
        <v>3622</v>
      </c>
    </row>
    <row r="3330" spans="35:37">
      <c r="AI3330" s="468">
        <v>45702</v>
      </c>
      <c r="AJ3330" s="5" t="s">
        <v>3617</v>
      </c>
      <c r="AK3330" s="5" t="s">
        <v>3623</v>
      </c>
    </row>
    <row r="3331" spans="35:37">
      <c r="AI3331" s="468">
        <v>45703</v>
      </c>
      <c r="AJ3331" s="5" t="s">
        <v>3619</v>
      </c>
      <c r="AK3331" s="5" t="s">
        <v>3625</v>
      </c>
    </row>
    <row r="3332" spans="35:37">
      <c r="AI3332" s="468">
        <v>45704</v>
      </c>
      <c r="AJ3332" s="5" t="s">
        <v>3621</v>
      </c>
      <c r="AK3332" s="5" t="s">
        <v>3627</v>
      </c>
    </row>
    <row r="3333" spans="35:37">
      <c r="AI3333" s="468">
        <v>45705</v>
      </c>
      <c r="AJ3333" s="5" t="s">
        <v>3579</v>
      </c>
      <c r="AK3333" s="5" t="s">
        <v>3618</v>
      </c>
    </row>
    <row r="3334" spans="35:37">
      <c r="AI3334" s="468">
        <v>45706</v>
      </c>
      <c r="AJ3334" s="5" t="s">
        <v>3624</v>
      </c>
      <c r="AK3334" s="5" t="s">
        <v>3620</v>
      </c>
    </row>
    <row r="3335" spans="35:37">
      <c r="AI3335" s="468">
        <v>45707</v>
      </c>
      <c r="AJ3335" s="5" t="s">
        <v>3626</v>
      </c>
      <c r="AK3335" s="5" t="s">
        <v>3622</v>
      </c>
    </row>
    <row r="3336" spans="35:37">
      <c r="AI3336" s="468">
        <v>45708</v>
      </c>
      <c r="AJ3336" s="5" t="s">
        <v>3628</v>
      </c>
      <c r="AK3336" s="5" t="s">
        <v>3623</v>
      </c>
    </row>
    <row r="3337" spans="35:37">
      <c r="AI3337" s="468">
        <v>45709</v>
      </c>
      <c r="AJ3337" s="5" t="s">
        <v>3617</v>
      </c>
      <c r="AK3337" s="5" t="s">
        <v>3625</v>
      </c>
    </row>
    <row r="3338" spans="35:37">
      <c r="AI3338" s="468">
        <v>45710</v>
      </c>
      <c r="AJ3338" s="5" t="s">
        <v>3619</v>
      </c>
      <c r="AK3338" s="5" t="s">
        <v>3627</v>
      </c>
    </row>
    <row r="3339" spans="35:37">
      <c r="AI3339" s="468">
        <v>45711</v>
      </c>
      <c r="AJ3339" s="5" t="s">
        <v>3621</v>
      </c>
      <c r="AK3339" s="5" t="s">
        <v>3618</v>
      </c>
    </row>
    <row r="3340" spans="35:37">
      <c r="AI3340" s="468">
        <v>45712</v>
      </c>
      <c r="AJ3340" s="5" t="s">
        <v>3579</v>
      </c>
      <c r="AK3340" s="5" t="s">
        <v>3620</v>
      </c>
    </row>
    <row r="3341" spans="35:37">
      <c r="AI3341" s="468">
        <v>45713</v>
      </c>
      <c r="AJ3341" s="5" t="s">
        <v>3624</v>
      </c>
      <c r="AK3341" s="5" t="s">
        <v>3622</v>
      </c>
    </row>
    <row r="3342" spans="35:37">
      <c r="AI3342" s="468">
        <v>45714</v>
      </c>
      <c r="AJ3342" s="5" t="s">
        <v>3626</v>
      </c>
      <c r="AK3342" s="5" t="s">
        <v>3623</v>
      </c>
    </row>
    <row r="3343" spans="35:37">
      <c r="AI3343" s="468">
        <v>45715</v>
      </c>
      <c r="AJ3343" s="5" t="s">
        <v>3628</v>
      </c>
      <c r="AK3343" s="5" t="s">
        <v>3625</v>
      </c>
    </row>
    <row r="3344" spans="35:37">
      <c r="AI3344" s="468">
        <v>45716</v>
      </c>
      <c r="AJ3344" s="5" t="s">
        <v>3617</v>
      </c>
      <c r="AK3344" s="5" t="s">
        <v>3618</v>
      </c>
    </row>
    <row r="3345" spans="35:37">
      <c r="AI3345" s="468">
        <v>45717</v>
      </c>
      <c r="AJ3345" s="5" t="s">
        <v>3619</v>
      </c>
      <c r="AK3345" s="5" t="s">
        <v>3620</v>
      </c>
    </row>
    <row r="3346" spans="35:37">
      <c r="AI3346" s="468">
        <v>45718</v>
      </c>
      <c r="AJ3346" s="5" t="s">
        <v>3621</v>
      </c>
      <c r="AK3346" s="5" t="s">
        <v>3622</v>
      </c>
    </row>
    <row r="3347" spans="35:37">
      <c r="AI3347" s="468">
        <v>45719</v>
      </c>
      <c r="AJ3347" s="5" t="s">
        <v>3579</v>
      </c>
      <c r="AK3347" s="5" t="s">
        <v>3623</v>
      </c>
    </row>
    <row r="3348" spans="35:37">
      <c r="AI3348" s="468">
        <v>45720</v>
      </c>
      <c r="AJ3348" s="5" t="s">
        <v>3624</v>
      </c>
      <c r="AK3348" s="5" t="s">
        <v>3625</v>
      </c>
    </row>
    <row r="3349" spans="35:37">
      <c r="AI3349" s="468">
        <v>45721</v>
      </c>
      <c r="AJ3349" s="5" t="s">
        <v>3626</v>
      </c>
      <c r="AK3349" s="5" t="s">
        <v>3627</v>
      </c>
    </row>
    <row r="3350" spans="35:37">
      <c r="AI3350" s="468">
        <v>45722</v>
      </c>
      <c r="AJ3350" s="5" t="s">
        <v>3628</v>
      </c>
      <c r="AK3350" s="5" t="s">
        <v>3618</v>
      </c>
    </row>
    <row r="3351" spans="35:37">
      <c r="AI3351" s="468">
        <v>45723</v>
      </c>
      <c r="AJ3351" s="5" t="s">
        <v>3617</v>
      </c>
      <c r="AK3351" s="5" t="s">
        <v>3620</v>
      </c>
    </row>
    <row r="3352" spans="35:37">
      <c r="AI3352" s="468">
        <v>45724</v>
      </c>
      <c r="AJ3352" s="5" t="s">
        <v>3619</v>
      </c>
      <c r="AK3352" s="5" t="s">
        <v>3622</v>
      </c>
    </row>
    <row r="3353" spans="35:37">
      <c r="AI3353" s="468">
        <v>45725</v>
      </c>
      <c r="AJ3353" s="5" t="s">
        <v>3621</v>
      </c>
      <c r="AK3353" s="5" t="s">
        <v>3623</v>
      </c>
    </row>
    <row r="3354" spans="35:37">
      <c r="AI3354" s="468">
        <v>45726</v>
      </c>
      <c r="AJ3354" s="5" t="s">
        <v>3579</v>
      </c>
      <c r="AK3354" s="5" t="s">
        <v>3625</v>
      </c>
    </row>
    <row r="3355" spans="35:37">
      <c r="AI3355" s="468">
        <v>45727</v>
      </c>
      <c r="AJ3355" s="5" t="s">
        <v>3624</v>
      </c>
      <c r="AK3355" s="5" t="s">
        <v>3627</v>
      </c>
    </row>
    <row r="3356" spans="35:37">
      <c r="AI3356" s="468">
        <v>45728</v>
      </c>
      <c r="AJ3356" s="5" t="s">
        <v>3626</v>
      </c>
      <c r="AK3356" s="5" t="s">
        <v>3618</v>
      </c>
    </row>
    <row r="3357" spans="35:37">
      <c r="AI3357" s="468">
        <v>45729</v>
      </c>
      <c r="AJ3357" s="5" t="s">
        <v>3628</v>
      </c>
      <c r="AK3357" s="5" t="s">
        <v>3620</v>
      </c>
    </row>
    <row r="3358" spans="35:37">
      <c r="AI3358" s="468">
        <v>45730</v>
      </c>
      <c r="AJ3358" s="5" t="s">
        <v>3617</v>
      </c>
      <c r="AK3358" s="5" t="s">
        <v>3622</v>
      </c>
    </row>
    <row r="3359" spans="35:37">
      <c r="AI3359" s="468">
        <v>45731</v>
      </c>
      <c r="AJ3359" s="5" t="s">
        <v>3619</v>
      </c>
      <c r="AK3359" s="5" t="s">
        <v>3623</v>
      </c>
    </row>
    <row r="3360" spans="35:37">
      <c r="AI3360" s="468">
        <v>45732</v>
      </c>
      <c r="AJ3360" s="5" t="s">
        <v>3621</v>
      </c>
      <c r="AK3360" s="5" t="s">
        <v>3625</v>
      </c>
    </row>
    <row r="3361" spans="35:37">
      <c r="AI3361" s="468">
        <v>45733</v>
      </c>
      <c r="AJ3361" s="5" t="s">
        <v>3579</v>
      </c>
      <c r="AK3361" s="5" t="s">
        <v>3627</v>
      </c>
    </row>
    <row r="3362" spans="35:37">
      <c r="AI3362" s="468">
        <v>45734</v>
      </c>
      <c r="AJ3362" s="5" t="s">
        <v>3624</v>
      </c>
      <c r="AK3362" s="5" t="s">
        <v>3618</v>
      </c>
    </row>
    <row r="3363" spans="35:37">
      <c r="AI3363" s="468">
        <v>45735</v>
      </c>
      <c r="AJ3363" s="5" t="s">
        <v>3626</v>
      </c>
      <c r="AK3363" s="5" t="s">
        <v>3620</v>
      </c>
    </row>
    <row r="3364" spans="35:37">
      <c r="AI3364" s="468">
        <v>45736</v>
      </c>
      <c r="AJ3364" s="5" t="s">
        <v>3628</v>
      </c>
      <c r="AK3364" s="5" t="s">
        <v>3622</v>
      </c>
    </row>
    <row r="3365" spans="35:37">
      <c r="AI3365" s="468">
        <v>45737</v>
      </c>
      <c r="AJ3365" s="5" t="s">
        <v>3617</v>
      </c>
      <c r="AK3365" s="5" t="s">
        <v>3623</v>
      </c>
    </row>
    <row r="3366" spans="35:37">
      <c r="AI3366" s="468">
        <v>45738</v>
      </c>
      <c r="AJ3366" s="5" t="s">
        <v>3619</v>
      </c>
      <c r="AK3366" s="5" t="s">
        <v>3625</v>
      </c>
    </row>
    <row r="3367" spans="35:37">
      <c r="AI3367" s="468">
        <v>45739</v>
      </c>
      <c r="AJ3367" s="5" t="s">
        <v>3621</v>
      </c>
      <c r="AK3367" s="5" t="s">
        <v>3627</v>
      </c>
    </row>
    <row r="3368" spans="35:37">
      <c r="AI3368" s="468">
        <v>45740</v>
      </c>
      <c r="AJ3368" s="5" t="s">
        <v>3579</v>
      </c>
      <c r="AK3368" s="5" t="s">
        <v>3618</v>
      </c>
    </row>
    <row r="3369" spans="35:37">
      <c r="AI3369" s="468">
        <v>45741</v>
      </c>
      <c r="AJ3369" s="5" t="s">
        <v>3624</v>
      </c>
      <c r="AK3369" s="5" t="s">
        <v>3620</v>
      </c>
    </row>
    <row r="3370" spans="35:37">
      <c r="AI3370" s="468">
        <v>45742</v>
      </c>
      <c r="AJ3370" s="5" t="s">
        <v>3626</v>
      </c>
      <c r="AK3370" s="5" t="s">
        <v>3622</v>
      </c>
    </row>
    <row r="3371" spans="35:37">
      <c r="AI3371" s="468">
        <v>45743</v>
      </c>
      <c r="AJ3371" s="5" t="s">
        <v>3628</v>
      </c>
      <c r="AK3371" s="5" t="s">
        <v>3623</v>
      </c>
    </row>
    <row r="3372" spans="35:37">
      <c r="AI3372" s="468">
        <v>45744</v>
      </c>
      <c r="AJ3372" s="5" t="s">
        <v>3617</v>
      </c>
      <c r="AK3372" s="5" t="s">
        <v>3625</v>
      </c>
    </row>
    <row r="3373" spans="35:37">
      <c r="AI3373" s="468">
        <v>45745</v>
      </c>
      <c r="AJ3373" s="5" t="s">
        <v>3619</v>
      </c>
      <c r="AK3373" s="5" t="s">
        <v>3620</v>
      </c>
    </row>
    <row r="3374" spans="35:37">
      <c r="AI3374" s="468">
        <v>45746</v>
      </c>
      <c r="AJ3374" s="5" t="s">
        <v>3621</v>
      </c>
      <c r="AK3374" s="5" t="s">
        <v>3622</v>
      </c>
    </row>
    <row r="3375" spans="35:37">
      <c r="AI3375" s="468">
        <v>45747</v>
      </c>
      <c r="AJ3375" s="5" t="s">
        <v>3579</v>
      </c>
      <c r="AK3375" s="5" t="s">
        <v>3623</v>
      </c>
    </row>
    <row r="3376" spans="35:37">
      <c r="AI3376" s="468">
        <v>45748</v>
      </c>
      <c r="AJ3376" s="5" t="s">
        <v>3624</v>
      </c>
      <c r="AK3376" s="5" t="s">
        <v>3625</v>
      </c>
    </row>
    <row r="3377" spans="35:37">
      <c r="AI3377" s="468">
        <v>45749</v>
      </c>
      <c r="AJ3377" s="5" t="s">
        <v>3626</v>
      </c>
      <c r="AK3377" s="5" t="s">
        <v>3627</v>
      </c>
    </row>
    <row r="3378" spans="35:37">
      <c r="AI3378" s="468">
        <v>45750</v>
      </c>
      <c r="AJ3378" s="5" t="s">
        <v>3628</v>
      </c>
      <c r="AK3378" s="5" t="s">
        <v>3618</v>
      </c>
    </row>
    <row r="3379" spans="35:37">
      <c r="AI3379" s="468">
        <v>45751</v>
      </c>
      <c r="AJ3379" s="5" t="s">
        <v>3617</v>
      </c>
      <c r="AK3379" s="5" t="s">
        <v>3620</v>
      </c>
    </row>
    <row r="3380" spans="35:37">
      <c r="AI3380" s="468">
        <v>45752</v>
      </c>
      <c r="AJ3380" s="5" t="s">
        <v>3619</v>
      </c>
      <c r="AK3380" s="5" t="s">
        <v>3622</v>
      </c>
    </row>
    <row r="3381" spans="35:37">
      <c r="AI3381" s="468">
        <v>45753</v>
      </c>
      <c r="AJ3381" s="5" t="s">
        <v>3621</v>
      </c>
      <c r="AK3381" s="5" t="s">
        <v>3623</v>
      </c>
    </row>
    <row r="3382" spans="35:37">
      <c r="AI3382" s="468">
        <v>45754</v>
      </c>
      <c r="AJ3382" s="5" t="s">
        <v>3579</v>
      </c>
      <c r="AK3382" s="5" t="s">
        <v>3625</v>
      </c>
    </row>
    <row r="3383" spans="35:37">
      <c r="AI3383" s="468">
        <v>45755</v>
      </c>
      <c r="AJ3383" s="5" t="s">
        <v>3624</v>
      </c>
      <c r="AK3383" s="5" t="s">
        <v>3627</v>
      </c>
    </row>
    <row r="3384" spans="35:37">
      <c r="AI3384" s="468">
        <v>45756</v>
      </c>
      <c r="AJ3384" s="5" t="s">
        <v>3626</v>
      </c>
      <c r="AK3384" s="5" t="s">
        <v>3618</v>
      </c>
    </row>
    <row r="3385" spans="35:37">
      <c r="AI3385" s="468">
        <v>45757</v>
      </c>
      <c r="AJ3385" s="5" t="s">
        <v>3628</v>
      </c>
      <c r="AK3385" s="5" t="s">
        <v>3620</v>
      </c>
    </row>
    <row r="3386" spans="35:37">
      <c r="AI3386" s="468">
        <v>45758</v>
      </c>
      <c r="AJ3386" s="5" t="s">
        <v>3617</v>
      </c>
      <c r="AK3386" s="5" t="s">
        <v>3622</v>
      </c>
    </row>
    <row r="3387" spans="35:37">
      <c r="AI3387" s="468">
        <v>45759</v>
      </c>
      <c r="AJ3387" s="5" t="s">
        <v>3619</v>
      </c>
      <c r="AK3387" s="5" t="s">
        <v>3623</v>
      </c>
    </row>
    <row r="3388" spans="35:37">
      <c r="AI3388" s="468">
        <v>45760</v>
      </c>
      <c r="AJ3388" s="5" t="s">
        <v>3621</v>
      </c>
      <c r="AK3388" s="5" t="s">
        <v>3625</v>
      </c>
    </row>
    <row r="3389" spans="35:37">
      <c r="AI3389" s="468">
        <v>45761</v>
      </c>
      <c r="AJ3389" s="5" t="s">
        <v>3579</v>
      </c>
      <c r="AK3389" s="5" t="s">
        <v>3627</v>
      </c>
    </row>
    <row r="3390" spans="35:37">
      <c r="AI3390" s="468">
        <v>45762</v>
      </c>
      <c r="AJ3390" s="5" t="s">
        <v>3624</v>
      </c>
      <c r="AK3390" s="5" t="s">
        <v>3618</v>
      </c>
    </row>
    <row r="3391" spans="35:37">
      <c r="AI3391" s="468">
        <v>45763</v>
      </c>
      <c r="AJ3391" s="5" t="s">
        <v>3626</v>
      </c>
      <c r="AK3391" s="5" t="s">
        <v>3620</v>
      </c>
    </row>
    <row r="3392" spans="35:37">
      <c r="AI3392" s="468">
        <v>45764</v>
      </c>
      <c r="AJ3392" s="5" t="s">
        <v>3628</v>
      </c>
      <c r="AK3392" s="5" t="s">
        <v>3622</v>
      </c>
    </row>
    <row r="3393" spans="35:37">
      <c r="AI3393" s="468">
        <v>45765</v>
      </c>
      <c r="AJ3393" s="5" t="s">
        <v>3617</v>
      </c>
      <c r="AK3393" s="5" t="s">
        <v>3623</v>
      </c>
    </row>
    <row r="3394" spans="35:37">
      <c r="AI3394" s="468">
        <v>45766</v>
      </c>
      <c r="AJ3394" s="5" t="s">
        <v>3619</v>
      </c>
      <c r="AK3394" s="5" t="s">
        <v>3625</v>
      </c>
    </row>
    <row r="3395" spans="35:37">
      <c r="AI3395" s="468">
        <v>45767</v>
      </c>
      <c r="AJ3395" s="5" t="s">
        <v>3621</v>
      </c>
      <c r="AK3395" s="5" t="s">
        <v>3627</v>
      </c>
    </row>
    <row r="3396" spans="35:37">
      <c r="AI3396" s="468">
        <v>45768</v>
      </c>
      <c r="AJ3396" s="5" t="s">
        <v>3579</v>
      </c>
      <c r="AK3396" s="5" t="s">
        <v>3618</v>
      </c>
    </row>
    <row r="3397" spans="35:37">
      <c r="AI3397" s="468">
        <v>45769</v>
      </c>
      <c r="AJ3397" s="5" t="s">
        <v>3624</v>
      </c>
      <c r="AK3397" s="5" t="s">
        <v>3620</v>
      </c>
    </row>
    <row r="3398" spans="35:37">
      <c r="AI3398" s="468">
        <v>45770</v>
      </c>
      <c r="AJ3398" s="5" t="s">
        <v>3626</v>
      </c>
      <c r="AK3398" s="5" t="s">
        <v>3622</v>
      </c>
    </row>
    <row r="3399" spans="35:37">
      <c r="AI3399" s="468">
        <v>45771</v>
      </c>
      <c r="AJ3399" s="5" t="s">
        <v>3628</v>
      </c>
      <c r="AK3399" s="5" t="s">
        <v>3623</v>
      </c>
    </row>
    <row r="3400" spans="35:37">
      <c r="AI3400" s="468">
        <v>45772</v>
      </c>
      <c r="AJ3400" s="5" t="s">
        <v>3617</v>
      </c>
      <c r="AK3400" s="5" t="s">
        <v>3625</v>
      </c>
    </row>
    <row r="3401" spans="35:37">
      <c r="AI3401" s="468">
        <v>45773</v>
      </c>
      <c r="AJ3401" s="5" t="s">
        <v>3619</v>
      </c>
      <c r="AK3401" s="5" t="s">
        <v>3627</v>
      </c>
    </row>
    <row r="3402" spans="35:37">
      <c r="AI3402" s="468">
        <v>45774</v>
      </c>
      <c r="AJ3402" s="5" t="s">
        <v>3621</v>
      </c>
      <c r="AK3402" s="5" t="s">
        <v>3618</v>
      </c>
    </row>
    <row r="3403" spans="35:37">
      <c r="AI3403" s="468">
        <v>45775</v>
      </c>
      <c r="AJ3403" s="5" t="s">
        <v>3579</v>
      </c>
      <c r="AK3403" s="5" t="s">
        <v>3622</v>
      </c>
    </row>
    <row r="3404" spans="35:37">
      <c r="AI3404" s="468">
        <v>45776</v>
      </c>
      <c r="AJ3404" s="5" t="s">
        <v>3624</v>
      </c>
      <c r="AK3404" s="5" t="s">
        <v>3623</v>
      </c>
    </row>
    <row r="3405" spans="35:37">
      <c r="AI3405" s="468">
        <v>45777</v>
      </c>
      <c r="AJ3405" s="5" t="s">
        <v>3626</v>
      </c>
      <c r="AK3405" s="5" t="s">
        <v>3625</v>
      </c>
    </row>
    <row r="3406" spans="35:37">
      <c r="AI3406" s="468">
        <v>45778</v>
      </c>
      <c r="AJ3406" s="5" t="s">
        <v>3628</v>
      </c>
      <c r="AK3406" s="5" t="s">
        <v>3627</v>
      </c>
    </row>
    <row r="3407" spans="35:37">
      <c r="AI3407" s="468">
        <v>45779</v>
      </c>
      <c r="AJ3407" s="5" t="s">
        <v>3617</v>
      </c>
      <c r="AK3407" s="5" t="s">
        <v>3618</v>
      </c>
    </row>
    <row r="3408" spans="35:37">
      <c r="AI3408" s="468">
        <v>45780</v>
      </c>
      <c r="AJ3408" s="5" t="s">
        <v>3619</v>
      </c>
      <c r="AK3408" s="5" t="s">
        <v>3620</v>
      </c>
    </row>
    <row r="3409" spans="35:37">
      <c r="AI3409" s="468">
        <v>45781</v>
      </c>
      <c r="AJ3409" s="5" t="s">
        <v>3621</v>
      </c>
      <c r="AK3409" s="5" t="s">
        <v>3622</v>
      </c>
    </row>
    <row r="3410" spans="35:37">
      <c r="AI3410" s="468">
        <v>45782</v>
      </c>
      <c r="AJ3410" s="5" t="s">
        <v>3579</v>
      </c>
      <c r="AK3410" s="5" t="s">
        <v>3623</v>
      </c>
    </row>
    <row r="3411" spans="35:37">
      <c r="AI3411" s="468">
        <v>45783</v>
      </c>
      <c r="AJ3411" s="5" t="s">
        <v>3624</v>
      </c>
      <c r="AK3411" s="5" t="s">
        <v>3625</v>
      </c>
    </row>
    <row r="3412" spans="35:37">
      <c r="AI3412" s="468">
        <v>45784</v>
      </c>
      <c r="AJ3412" s="5" t="s">
        <v>3626</v>
      </c>
      <c r="AK3412" s="5" t="s">
        <v>3627</v>
      </c>
    </row>
    <row r="3413" spans="35:37">
      <c r="AI3413" s="468">
        <v>45785</v>
      </c>
      <c r="AJ3413" s="5" t="s">
        <v>3628</v>
      </c>
      <c r="AK3413" s="5" t="s">
        <v>3618</v>
      </c>
    </row>
    <row r="3414" spans="35:37">
      <c r="AI3414" s="468">
        <v>45786</v>
      </c>
      <c r="AJ3414" s="5" t="s">
        <v>3617</v>
      </c>
      <c r="AK3414" s="5" t="s">
        <v>3620</v>
      </c>
    </row>
    <row r="3415" spans="35:37">
      <c r="AI3415" s="468">
        <v>45787</v>
      </c>
      <c r="AJ3415" s="5" t="s">
        <v>3619</v>
      </c>
      <c r="AK3415" s="5" t="s">
        <v>3622</v>
      </c>
    </row>
    <row r="3416" spans="35:37">
      <c r="AI3416" s="468">
        <v>45788</v>
      </c>
      <c r="AJ3416" s="5" t="s">
        <v>3621</v>
      </c>
      <c r="AK3416" s="5" t="s">
        <v>3623</v>
      </c>
    </row>
    <row r="3417" spans="35:37">
      <c r="AI3417" s="468">
        <v>45789</v>
      </c>
      <c r="AJ3417" s="5" t="s">
        <v>3579</v>
      </c>
      <c r="AK3417" s="5" t="s">
        <v>3625</v>
      </c>
    </row>
    <row r="3418" spans="35:37">
      <c r="AI3418" s="468">
        <v>45790</v>
      </c>
      <c r="AJ3418" s="5" t="s">
        <v>3624</v>
      </c>
      <c r="AK3418" s="5" t="s">
        <v>3627</v>
      </c>
    </row>
    <row r="3419" spans="35:37">
      <c r="AI3419" s="468">
        <v>45791</v>
      </c>
      <c r="AJ3419" s="5" t="s">
        <v>3626</v>
      </c>
      <c r="AK3419" s="5" t="s">
        <v>3618</v>
      </c>
    </row>
    <row r="3420" spans="35:37">
      <c r="AI3420" s="468">
        <v>45792</v>
      </c>
      <c r="AJ3420" s="5" t="s">
        <v>3628</v>
      </c>
      <c r="AK3420" s="5" t="s">
        <v>3620</v>
      </c>
    </row>
    <row r="3421" spans="35:37">
      <c r="AI3421" s="468">
        <v>45793</v>
      </c>
      <c r="AJ3421" s="5" t="s">
        <v>3617</v>
      </c>
      <c r="AK3421" s="5" t="s">
        <v>3622</v>
      </c>
    </row>
    <row r="3422" spans="35:37">
      <c r="AI3422" s="468">
        <v>45794</v>
      </c>
      <c r="AJ3422" s="5" t="s">
        <v>3619</v>
      </c>
      <c r="AK3422" s="5" t="s">
        <v>3623</v>
      </c>
    </row>
    <row r="3423" spans="35:37">
      <c r="AI3423" s="468">
        <v>45795</v>
      </c>
      <c r="AJ3423" s="5" t="s">
        <v>3621</v>
      </c>
      <c r="AK3423" s="5" t="s">
        <v>3625</v>
      </c>
    </row>
    <row r="3424" spans="35:37">
      <c r="AI3424" s="468">
        <v>45796</v>
      </c>
      <c r="AJ3424" s="5" t="s">
        <v>3579</v>
      </c>
      <c r="AK3424" s="5" t="s">
        <v>3627</v>
      </c>
    </row>
    <row r="3425" spans="35:37">
      <c r="AI3425" s="468">
        <v>45797</v>
      </c>
      <c r="AJ3425" s="5" t="s">
        <v>3624</v>
      </c>
      <c r="AK3425" s="5" t="s">
        <v>3618</v>
      </c>
    </row>
    <row r="3426" spans="35:37">
      <c r="AI3426" s="468">
        <v>45798</v>
      </c>
      <c r="AJ3426" s="5" t="s">
        <v>3626</v>
      </c>
      <c r="AK3426" s="5" t="s">
        <v>3620</v>
      </c>
    </row>
    <row r="3427" spans="35:37">
      <c r="AI3427" s="468">
        <v>45799</v>
      </c>
      <c r="AJ3427" s="5" t="s">
        <v>3628</v>
      </c>
      <c r="AK3427" s="5" t="s">
        <v>3622</v>
      </c>
    </row>
    <row r="3428" spans="35:37">
      <c r="AI3428" s="468">
        <v>45800</v>
      </c>
      <c r="AJ3428" s="5" t="s">
        <v>3617</v>
      </c>
      <c r="AK3428" s="5" t="s">
        <v>3623</v>
      </c>
    </row>
    <row r="3429" spans="35:37">
      <c r="AI3429" s="468">
        <v>45801</v>
      </c>
      <c r="AJ3429" s="5" t="s">
        <v>3619</v>
      </c>
      <c r="AK3429" s="5" t="s">
        <v>3625</v>
      </c>
    </row>
    <row r="3430" spans="35:37">
      <c r="AI3430" s="468">
        <v>45802</v>
      </c>
      <c r="AJ3430" s="5" t="s">
        <v>3621</v>
      </c>
      <c r="AK3430" s="5" t="s">
        <v>3627</v>
      </c>
    </row>
    <row r="3431" spans="35:37">
      <c r="AI3431" s="468">
        <v>45803</v>
      </c>
      <c r="AJ3431" s="5" t="s">
        <v>3579</v>
      </c>
      <c r="AK3431" s="5" t="s">
        <v>3618</v>
      </c>
    </row>
    <row r="3432" spans="35:37">
      <c r="AI3432" s="468">
        <v>45804</v>
      </c>
      <c r="AJ3432" s="5" t="s">
        <v>3624</v>
      </c>
      <c r="AK3432" s="5" t="s">
        <v>3623</v>
      </c>
    </row>
    <row r="3433" spans="35:37">
      <c r="AI3433" s="468">
        <v>45805</v>
      </c>
      <c r="AJ3433" s="5" t="s">
        <v>3626</v>
      </c>
      <c r="AK3433" s="5" t="s">
        <v>3625</v>
      </c>
    </row>
    <row r="3434" spans="35:37">
      <c r="AI3434" s="468">
        <v>45806</v>
      </c>
      <c r="AJ3434" s="5" t="s">
        <v>3628</v>
      </c>
      <c r="AK3434" s="5" t="s">
        <v>3627</v>
      </c>
    </row>
    <row r="3435" spans="35:37">
      <c r="AI3435" s="468">
        <v>45807</v>
      </c>
      <c r="AJ3435" s="5" t="s">
        <v>3617</v>
      </c>
      <c r="AK3435" s="5" t="s">
        <v>3618</v>
      </c>
    </row>
    <row r="3436" spans="35:37">
      <c r="AI3436" s="468">
        <v>45808</v>
      </c>
      <c r="AJ3436" s="5" t="s">
        <v>3619</v>
      </c>
      <c r="AK3436" s="5" t="s">
        <v>3620</v>
      </c>
    </row>
    <row r="3437" spans="35:37">
      <c r="AI3437" s="468">
        <v>45809</v>
      </c>
      <c r="AJ3437" s="5" t="s">
        <v>3621</v>
      </c>
      <c r="AK3437" s="5" t="s">
        <v>3622</v>
      </c>
    </row>
    <row r="3438" spans="35:37">
      <c r="AI3438" s="468">
        <v>45810</v>
      </c>
      <c r="AJ3438" s="5" t="s">
        <v>3579</v>
      </c>
      <c r="AK3438" s="5" t="s">
        <v>3623</v>
      </c>
    </row>
    <row r="3439" spans="35:37">
      <c r="AI3439" s="468">
        <v>45811</v>
      </c>
      <c r="AJ3439" s="5" t="s">
        <v>3624</v>
      </c>
      <c r="AK3439" s="5" t="s">
        <v>3625</v>
      </c>
    </row>
    <row r="3440" spans="35:37">
      <c r="AI3440" s="468">
        <v>45812</v>
      </c>
      <c r="AJ3440" s="5" t="s">
        <v>3626</v>
      </c>
      <c r="AK3440" s="5" t="s">
        <v>3627</v>
      </c>
    </row>
    <row r="3441" spans="35:37">
      <c r="AI3441" s="468">
        <v>45813</v>
      </c>
      <c r="AJ3441" s="5" t="s">
        <v>3628</v>
      </c>
      <c r="AK3441" s="5" t="s">
        <v>3618</v>
      </c>
    </row>
    <row r="3442" spans="35:37">
      <c r="AI3442" s="468">
        <v>45814</v>
      </c>
      <c r="AJ3442" s="5" t="s">
        <v>3617</v>
      </c>
      <c r="AK3442" s="5" t="s">
        <v>3620</v>
      </c>
    </row>
    <row r="3443" spans="35:37">
      <c r="AI3443" s="468">
        <v>45815</v>
      </c>
      <c r="AJ3443" s="5" t="s">
        <v>3619</v>
      </c>
      <c r="AK3443" s="5" t="s">
        <v>3622</v>
      </c>
    </row>
    <row r="3444" spans="35:37">
      <c r="AI3444" s="468">
        <v>45816</v>
      </c>
      <c r="AJ3444" s="5" t="s">
        <v>3621</v>
      </c>
      <c r="AK3444" s="5" t="s">
        <v>3623</v>
      </c>
    </row>
    <row r="3445" spans="35:37">
      <c r="AI3445" s="468">
        <v>45817</v>
      </c>
      <c r="AJ3445" s="5" t="s">
        <v>3579</v>
      </c>
      <c r="AK3445" s="5" t="s">
        <v>3625</v>
      </c>
    </row>
    <row r="3446" spans="35:37">
      <c r="AI3446" s="468">
        <v>45818</v>
      </c>
      <c r="AJ3446" s="5" t="s">
        <v>3624</v>
      </c>
      <c r="AK3446" s="5" t="s">
        <v>3627</v>
      </c>
    </row>
    <row r="3447" spans="35:37">
      <c r="AI3447" s="468">
        <v>45819</v>
      </c>
      <c r="AJ3447" s="5" t="s">
        <v>3626</v>
      </c>
      <c r="AK3447" s="5" t="s">
        <v>3618</v>
      </c>
    </row>
    <row r="3448" spans="35:37">
      <c r="AI3448" s="468">
        <v>45820</v>
      </c>
      <c r="AJ3448" s="5" t="s">
        <v>3628</v>
      </c>
      <c r="AK3448" s="5" t="s">
        <v>3620</v>
      </c>
    </row>
    <row r="3449" spans="35:37">
      <c r="AI3449" s="468">
        <v>45821</v>
      </c>
      <c r="AJ3449" s="5" t="s">
        <v>3617</v>
      </c>
      <c r="AK3449" s="5" t="s">
        <v>3622</v>
      </c>
    </row>
    <row r="3450" spans="35:37">
      <c r="AI3450" s="468">
        <v>45822</v>
      </c>
      <c r="AJ3450" s="5" t="s">
        <v>3619</v>
      </c>
      <c r="AK3450" s="5" t="s">
        <v>3623</v>
      </c>
    </row>
    <row r="3451" spans="35:37">
      <c r="AI3451" s="468">
        <v>45823</v>
      </c>
      <c r="AJ3451" s="5" t="s">
        <v>3621</v>
      </c>
      <c r="AK3451" s="5" t="s">
        <v>3625</v>
      </c>
    </row>
    <row r="3452" spans="35:37">
      <c r="AI3452" s="468">
        <v>45824</v>
      </c>
      <c r="AJ3452" s="5" t="s">
        <v>3579</v>
      </c>
      <c r="AK3452" s="5" t="s">
        <v>3627</v>
      </c>
    </row>
    <row r="3453" spans="35:37">
      <c r="AI3453" s="468">
        <v>45825</v>
      </c>
      <c r="AJ3453" s="5" t="s">
        <v>3624</v>
      </c>
      <c r="AK3453" s="5" t="s">
        <v>3618</v>
      </c>
    </row>
    <row r="3454" spans="35:37">
      <c r="AI3454" s="468">
        <v>45826</v>
      </c>
      <c r="AJ3454" s="5" t="s">
        <v>3626</v>
      </c>
      <c r="AK3454" s="5" t="s">
        <v>3620</v>
      </c>
    </row>
    <row r="3455" spans="35:37">
      <c r="AI3455" s="468">
        <v>45827</v>
      </c>
      <c r="AJ3455" s="5" t="s">
        <v>3628</v>
      </c>
      <c r="AK3455" s="5" t="s">
        <v>3622</v>
      </c>
    </row>
    <row r="3456" spans="35:37">
      <c r="AI3456" s="468">
        <v>45828</v>
      </c>
      <c r="AJ3456" s="5" t="s">
        <v>3617</v>
      </c>
      <c r="AK3456" s="5" t="s">
        <v>3623</v>
      </c>
    </row>
    <row r="3457" spans="35:37">
      <c r="AI3457" s="468">
        <v>45829</v>
      </c>
      <c r="AJ3457" s="5" t="s">
        <v>3619</v>
      </c>
      <c r="AK3457" s="5" t="s">
        <v>3625</v>
      </c>
    </row>
    <row r="3458" spans="35:37">
      <c r="AI3458" s="468">
        <v>45830</v>
      </c>
      <c r="AJ3458" s="5" t="s">
        <v>3621</v>
      </c>
      <c r="AK3458" s="5" t="s">
        <v>3627</v>
      </c>
    </row>
    <row r="3459" spans="35:37">
      <c r="AI3459" s="468">
        <v>45831</v>
      </c>
      <c r="AJ3459" s="5" t="s">
        <v>3579</v>
      </c>
      <c r="AK3459" s="5" t="s">
        <v>3618</v>
      </c>
    </row>
    <row r="3460" spans="35:37">
      <c r="AI3460" s="468">
        <v>45832</v>
      </c>
      <c r="AJ3460" s="5" t="s">
        <v>3624</v>
      </c>
      <c r="AK3460" s="5" t="s">
        <v>3620</v>
      </c>
    </row>
    <row r="3461" spans="35:37">
      <c r="AI3461" s="468">
        <v>45833</v>
      </c>
      <c r="AJ3461" s="5" t="s">
        <v>3626</v>
      </c>
      <c r="AK3461" s="5" t="s">
        <v>3625</v>
      </c>
    </row>
    <row r="3462" spans="35:37">
      <c r="AI3462" s="468">
        <v>45834</v>
      </c>
      <c r="AJ3462" s="5" t="s">
        <v>3628</v>
      </c>
      <c r="AK3462" s="5" t="s">
        <v>3627</v>
      </c>
    </row>
    <row r="3463" spans="35:37">
      <c r="AI3463" s="468">
        <v>45835</v>
      </c>
      <c r="AJ3463" s="5" t="s">
        <v>3617</v>
      </c>
      <c r="AK3463" s="5" t="s">
        <v>3618</v>
      </c>
    </row>
    <row r="3464" spans="35:37">
      <c r="AI3464" s="468">
        <v>45836</v>
      </c>
      <c r="AJ3464" s="5" t="s">
        <v>3619</v>
      </c>
      <c r="AK3464" s="5" t="s">
        <v>3620</v>
      </c>
    </row>
    <row r="3465" spans="35:37">
      <c r="AI3465" s="468">
        <v>45837</v>
      </c>
      <c r="AJ3465" s="5" t="s">
        <v>3621</v>
      </c>
      <c r="AK3465" s="5" t="s">
        <v>3622</v>
      </c>
    </row>
    <row r="3466" spans="35:37">
      <c r="AI3466" s="468">
        <v>45838</v>
      </c>
      <c r="AJ3466" s="5" t="s">
        <v>3579</v>
      </c>
      <c r="AK3466" s="5" t="s">
        <v>3623</v>
      </c>
    </row>
    <row r="3467" spans="35:37">
      <c r="AI3467" s="468">
        <v>45839</v>
      </c>
      <c r="AJ3467" s="5" t="s">
        <v>3624</v>
      </c>
      <c r="AK3467" s="5" t="s">
        <v>3625</v>
      </c>
    </row>
    <row r="3468" spans="35:37">
      <c r="AI3468" s="468">
        <v>45840</v>
      </c>
      <c r="AJ3468" s="5" t="s">
        <v>3626</v>
      </c>
      <c r="AK3468" s="5" t="s">
        <v>3627</v>
      </c>
    </row>
    <row r="3469" spans="35:37">
      <c r="AI3469" s="468">
        <v>45841</v>
      </c>
      <c r="AJ3469" s="5" t="s">
        <v>3628</v>
      </c>
      <c r="AK3469" s="5" t="s">
        <v>3618</v>
      </c>
    </row>
    <row r="3470" spans="35:37">
      <c r="AI3470" s="468">
        <v>45842</v>
      </c>
      <c r="AJ3470" s="5" t="s">
        <v>3617</v>
      </c>
      <c r="AK3470" s="5" t="s">
        <v>3620</v>
      </c>
    </row>
    <row r="3471" spans="35:37">
      <c r="AI3471" s="468">
        <v>45843</v>
      </c>
      <c r="AJ3471" s="5" t="s">
        <v>3619</v>
      </c>
      <c r="AK3471" s="5" t="s">
        <v>3622</v>
      </c>
    </row>
    <row r="3472" spans="35:37">
      <c r="AI3472" s="468">
        <v>45844</v>
      </c>
      <c r="AJ3472" s="5" t="s">
        <v>3621</v>
      </c>
      <c r="AK3472" s="5" t="s">
        <v>3623</v>
      </c>
    </row>
    <row r="3473" spans="35:37">
      <c r="AI3473" s="468">
        <v>45845</v>
      </c>
      <c r="AJ3473" s="5" t="s">
        <v>3579</v>
      </c>
      <c r="AK3473" s="5" t="s">
        <v>3625</v>
      </c>
    </row>
    <row r="3474" spans="35:37">
      <c r="AI3474" s="468">
        <v>45846</v>
      </c>
      <c r="AJ3474" s="5" t="s">
        <v>3624</v>
      </c>
      <c r="AK3474" s="5" t="s">
        <v>3627</v>
      </c>
    </row>
    <row r="3475" spans="35:37">
      <c r="AI3475" s="468">
        <v>45847</v>
      </c>
      <c r="AJ3475" s="5" t="s">
        <v>3626</v>
      </c>
      <c r="AK3475" s="5" t="s">
        <v>3618</v>
      </c>
    </row>
    <row r="3476" spans="35:37">
      <c r="AI3476" s="468">
        <v>45848</v>
      </c>
      <c r="AJ3476" s="5" t="s">
        <v>3628</v>
      </c>
      <c r="AK3476" s="5" t="s">
        <v>3620</v>
      </c>
    </row>
    <row r="3477" spans="35:37">
      <c r="AI3477" s="468">
        <v>45849</v>
      </c>
      <c r="AJ3477" s="5" t="s">
        <v>3617</v>
      </c>
      <c r="AK3477" s="5" t="s">
        <v>3622</v>
      </c>
    </row>
    <row r="3478" spans="35:37">
      <c r="AI3478" s="468">
        <v>45850</v>
      </c>
      <c r="AJ3478" s="5" t="s">
        <v>3619</v>
      </c>
      <c r="AK3478" s="5" t="s">
        <v>3623</v>
      </c>
    </row>
    <row r="3479" spans="35:37">
      <c r="AI3479" s="468">
        <v>45851</v>
      </c>
      <c r="AJ3479" s="5" t="s">
        <v>3621</v>
      </c>
      <c r="AK3479" s="5" t="s">
        <v>3625</v>
      </c>
    </row>
    <row r="3480" spans="35:37">
      <c r="AI3480" s="468">
        <v>45852</v>
      </c>
      <c r="AJ3480" s="5" t="s">
        <v>3579</v>
      </c>
      <c r="AK3480" s="5" t="s">
        <v>3627</v>
      </c>
    </row>
    <row r="3481" spans="35:37">
      <c r="AI3481" s="468">
        <v>45853</v>
      </c>
      <c r="AJ3481" s="5" t="s">
        <v>3624</v>
      </c>
      <c r="AK3481" s="5" t="s">
        <v>3618</v>
      </c>
    </row>
    <row r="3482" spans="35:37">
      <c r="AI3482" s="468">
        <v>45854</v>
      </c>
      <c r="AJ3482" s="5" t="s">
        <v>3626</v>
      </c>
      <c r="AK3482" s="5" t="s">
        <v>3620</v>
      </c>
    </row>
    <row r="3483" spans="35:37">
      <c r="AI3483" s="468">
        <v>45855</v>
      </c>
      <c r="AJ3483" s="5" t="s">
        <v>3628</v>
      </c>
      <c r="AK3483" s="5" t="s">
        <v>3622</v>
      </c>
    </row>
    <row r="3484" spans="35:37">
      <c r="AI3484" s="468">
        <v>45856</v>
      </c>
      <c r="AJ3484" s="5" t="s">
        <v>3617</v>
      </c>
      <c r="AK3484" s="5" t="s">
        <v>3623</v>
      </c>
    </row>
    <row r="3485" spans="35:37">
      <c r="AI3485" s="468">
        <v>45857</v>
      </c>
      <c r="AJ3485" s="5" t="s">
        <v>3619</v>
      </c>
      <c r="AK3485" s="5" t="s">
        <v>3625</v>
      </c>
    </row>
    <row r="3486" spans="35:37">
      <c r="AI3486" s="468">
        <v>45858</v>
      </c>
      <c r="AJ3486" s="5" t="s">
        <v>3621</v>
      </c>
      <c r="AK3486" s="5" t="s">
        <v>3627</v>
      </c>
    </row>
    <row r="3487" spans="35:37">
      <c r="AI3487" s="468">
        <v>45859</v>
      </c>
      <c r="AJ3487" s="5" t="s">
        <v>3579</v>
      </c>
      <c r="AK3487" s="5" t="s">
        <v>3618</v>
      </c>
    </row>
    <row r="3488" spans="35:37">
      <c r="AI3488" s="468">
        <v>45860</v>
      </c>
      <c r="AJ3488" s="5" t="s">
        <v>3624</v>
      </c>
      <c r="AK3488" s="5" t="s">
        <v>3620</v>
      </c>
    </row>
    <row r="3489" spans="35:37">
      <c r="AI3489" s="468">
        <v>45861</v>
      </c>
      <c r="AJ3489" s="5" t="s">
        <v>3626</v>
      </c>
      <c r="AK3489" s="5" t="s">
        <v>3622</v>
      </c>
    </row>
    <row r="3490" spans="35:37">
      <c r="AI3490" s="468">
        <v>45862</v>
      </c>
      <c r="AJ3490" s="5" t="s">
        <v>3628</v>
      </c>
      <c r="AK3490" s="5" t="s">
        <v>3623</v>
      </c>
    </row>
    <row r="3491" spans="35:37">
      <c r="AI3491" s="468">
        <v>45863</v>
      </c>
      <c r="AJ3491" s="5" t="s">
        <v>3617</v>
      </c>
      <c r="AK3491" s="5" t="s">
        <v>3625</v>
      </c>
    </row>
    <row r="3492" spans="35:37">
      <c r="AI3492" s="468">
        <v>45864</v>
      </c>
      <c r="AJ3492" s="5" t="s">
        <v>3619</v>
      </c>
      <c r="AK3492" s="5" t="s">
        <v>3627</v>
      </c>
    </row>
    <row r="3493" spans="35:37">
      <c r="AI3493" s="468">
        <v>45865</v>
      </c>
      <c r="AJ3493" s="5" t="s">
        <v>3621</v>
      </c>
      <c r="AK3493" s="5" t="s">
        <v>3618</v>
      </c>
    </row>
    <row r="3494" spans="35:37">
      <c r="AI3494" s="468">
        <v>45866</v>
      </c>
      <c r="AJ3494" s="5" t="s">
        <v>3579</v>
      </c>
      <c r="AK3494" s="5" t="s">
        <v>3620</v>
      </c>
    </row>
    <row r="3495" spans="35:37">
      <c r="AI3495" s="468">
        <v>45867</v>
      </c>
      <c r="AJ3495" s="5" t="s">
        <v>3624</v>
      </c>
      <c r="AK3495" s="5" t="s">
        <v>3622</v>
      </c>
    </row>
    <row r="3496" spans="35:37">
      <c r="AI3496" s="468">
        <v>45868</v>
      </c>
      <c r="AJ3496" s="5" t="s">
        <v>3626</v>
      </c>
      <c r="AK3496" s="5" t="s">
        <v>3623</v>
      </c>
    </row>
    <row r="3497" spans="35:37">
      <c r="AI3497" s="468">
        <v>45869</v>
      </c>
      <c r="AJ3497" s="5" t="s">
        <v>3628</v>
      </c>
      <c r="AK3497" s="5" t="s">
        <v>3625</v>
      </c>
    </row>
    <row r="3498" spans="35:37">
      <c r="AI3498" s="468">
        <v>45870</v>
      </c>
      <c r="AJ3498" s="5" t="s">
        <v>3617</v>
      </c>
      <c r="AK3498" s="5" t="s">
        <v>3627</v>
      </c>
    </row>
    <row r="3499" spans="35:37">
      <c r="AI3499" s="468">
        <v>45871</v>
      </c>
      <c r="AJ3499" s="5" t="s">
        <v>3619</v>
      </c>
      <c r="AK3499" s="5" t="s">
        <v>3618</v>
      </c>
    </row>
    <row r="3500" spans="35:37">
      <c r="AI3500" s="468">
        <v>45872</v>
      </c>
      <c r="AJ3500" s="5" t="s">
        <v>3621</v>
      </c>
      <c r="AK3500" s="5" t="s">
        <v>3620</v>
      </c>
    </row>
    <row r="3501" spans="35:37">
      <c r="AI3501" s="468">
        <v>45873</v>
      </c>
      <c r="AJ3501" s="5" t="s">
        <v>3579</v>
      </c>
      <c r="AK3501" s="5" t="s">
        <v>3622</v>
      </c>
    </row>
    <row r="3502" spans="35:37">
      <c r="AI3502" s="468">
        <v>45874</v>
      </c>
      <c r="AJ3502" s="5" t="s">
        <v>3624</v>
      </c>
      <c r="AK3502" s="5" t="s">
        <v>3623</v>
      </c>
    </row>
    <row r="3503" spans="35:37">
      <c r="AI3503" s="468">
        <v>45875</v>
      </c>
      <c r="AJ3503" s="5" t="s">
        <v>3626</v>
      </c>
      <c r="AK3503" s="5" t="s">
        <v>3625</v>
      </c>
    </row>
    <row r="3504" spans="35:37">
      <c r="AI3504" s="468">
        <v>45876</v>
      </c>
      <c r="AJ3504" s="5" t="s">
        <v>3628</v>
      </c>
      <c r="AK3504" s="5" t="s">
        <v>3627</v>
      </c>
    </row>
    <row r="3505" spans="35:37">
      <c r="AI3505" s="468">
        <v>45877</v>
      </c>
      <c r="AJ3505" s="5" t="s">
        <v>3617</v>
      </c>
      <c r="AK3505" s="5" t="s">
        <v>3618</v>
      </c>
    </row>
    <row r="3506" spans="35:37">
      <c r="AI3506" s="468">
        <v>45878</v>
      </c>
      <c r="AJ3506" s="5" t="s">
        <v>3619</v>
      </c>
      <c r="AK3506" s="5" t="s">
        <v>3620</v>
      </c>
    </row>
    <row r="3507" spans="35:37">
      <c r="AI3507" s="468">
        <v>45879</v>
      </c>
      <c r="AJ3507" s="5" t="s">
        <v>3621</v>
      </c>
      <c r="AK3507" s="5" t="s">
        <v>3622</v>
      </c>
    </row>
    <row r="3508" spans="35:37">
      <c r="AI3508" s="468">
        <v>45880</v>
      </c>
      <c r="AJ3508" s="5" t="s">
        <v>3579</v>
      </c>
      <c r="AK3508" s="5" t="s">
        <v>3623</v>
      </c>
    </row>
    <row r="3509" spans="35:37">
      <c r="AI3509" s="468">
        <v>45881</v>
      </c>
      <c r="AJ3509" s="5" t="s">
        <v>3624</v>
      </c>
      <c r="AK3509" s="5" t="s">
        <v>3625</v>
      </c>
    </row>
    <row r="3510" spans="35:37">
      <c r="AI3510" s="468">
        <v>45882</v>
      </c>
      <c r="AJ3510" s="5" t="s">
        <v>3626</v>
      </c>
      <c r="AK3510" s="5" t="s">
        <v>3627</v>
      </c>
    </row>
    <row r="3511" spans="35:37">
      <c r="AI3511" s="468">
        <v>45883</v>
      </c>
      <c r="AJ3511" s="5" t="s">
        <v>3628</v>
      </c>
      <c r="AK3511" s="5" t="s">
        <v>3618</v>
      </c>
    </row>
    <row r="3512" spans="35:37">
      <c r="AI3512" s="468">
        <v>45884</v>
      </c>
      <c r="AJ3512" s="5" t="s">
        <v>3617</v>
      </c>
      <c r="AK3512" s="5" t="s">
        <v>3620</v>
      </c>
    </row>
    <row r="3513" spans="35:37">
      <c r="AI3513" s="468">
        <v>45885</v>
      </c>
      <c r="AJ3513" s="5" t="s">
        <v>3619</v>
      </c>
      <c r="AK3513" s="5" t="s">
        <v>3622</v>
      </c>
    </row>
    <row r="3514" spans="35:37">
      <c r="AI3514" s="468">
        <v>45886</v>
      </c>
      <c r="AJ3514" s="5" t="s">
        <v>3621</v>
      </c>
      <c r="AK3514" s="5" t="s">
        <v>3623</v>
      </c>
    </row>
    <row r="3515" spans="35:37">
      <c r="AI3515" s="468">
        <v>45887</v>
      </c>
      <c r="AJ3515" s="5" t="s">
        <v>3579</v>
      </c>
      <c r="AK3515" s="5" t="s">
        <v>3625</v>
      </c>
    </row>
    <row r="3516" spans="35:37">
      <c r="AI3516" s="468">
        <v>45888</v>
      </c>
      <c r="AJ3516" s="5" t="s">
        <v>3624</v>
      </c>
      <c r="AK3516" s="5" t="s">
        <v>3627</v>
      </c>
    </row>
    <row r="3517" spans="35:37">
      <c r="AI3517" s="468">
        <v>45889</v>
      </c>
      <c r="AJ3517" s="5" t="s">
        <v>3626</v>
      </c>
      <c r="AK3517" s="5" t="s">
        <v>3618</v>
      </c>
    </row>
    <row r="3518" spans="35:37">
      <c r="AI3518" s="468">
        <v>45890</v>
      </c>
      <c r="AJ3518" s="5" t="s">
        <v>3628</v>
      </c>
      <c r="AK3518" s="5" t="s">
        <v>3620</v>
      </c>
    </row>
    <row r="3519" spans="35:37">
      <c r="AI3519" s="468">
        <v>45891</v>
      </c>
      <c r="AJ3519" s="5" t="s">
        <v>3617</v>
      </c>
      <c r="AK3519" s="5" t="s">
        <v>3622</v>
      </c>
    </row>
    <row r="3520" spans="35:37">
      <c r="AI3520" s="468">
        <v>45892</v>
      </c>
      <c r="AJ3520" s="5" t="s">
        <v>3619</v>
      </c>
      <c r="AK3520" s="5" t="s">
        <v>3627</v>
      </c>
    </row>
    <row r="3521" spans="35:37">
      <c r="AI3521" s="468">
        <v>45893</v>
      </c>
      <c r="AJ3521" s="5" t="s">
        <v>3621</v>
      </c>
      <c r="AK3521" s="5" t="s">
        <v>3618</v>
      </c>
    </row>
    <row r="3522" spans="35:37">
      <c r="AI3522" s="468">
        <v>45894</v>
      </c>
      <c r="AJ3522" s="5" t="s">
        <v>3579</v>
      </c>
      <c r="AK3522" s="5" t="s">
        <v>3620</v>
      </c>
    </row>
    <row r="3523" spans="35:37">
      <c r="AI3523" s="468">
        <v>45895</v>
      </c>
      <c r="AJ3523" s="5" t="s">
        <v>3624</v>
      </c>
      <c r="AK3523" s="5" t="s">
        <v>3622</v>
      </c>
    </row>
    <row r="3524" spans="35:37">
      <c r="AI3524" s="468">
        <v>45896</v>
      </c>
      <c r="AJ3524" s="5" t="s">
        <v>3626</v>
      </c>
      <c r="AK3524" s="5" t="s">
        <v>3623</v>
      </c>
    </row>
    <row r="3525" spans="35:37">
      <c r="AI3525" s="468">
        <v>45897</v>
      </c>
      <c r="AJ3525" s="5" t="s">
        <v>3628</v>
      </c>
      <c r="AK3525" s="5" t="s">
        <v>3625</v>
      </c>
    </row>
    <row r="3526" spans="35:37">
      <c r="AI3526" s="468">
        <v>45898</v>
      </c>
      <c r="AJ3526" s="5" t="s">
        <v>3617</v>
      </c>
      <c r="AK3526" s="5" t="s">
        <v>3627</v>
      </c>
    </row>
    <row r="3527" spans="35:37">
      <c r="AI3527" s="468">
        <v>45899</v>
      </c>
      <c r="AJ3527" s="5" t="s">
        <v>3619</v>
      </c>
      <c r="AK3527" s="5" t="s">
        <v>3618</v>
      </c>
    </row>
    <row r="3528" spans="35:37">
      <c r="AI3528" s="468">
        <v>45900</v>
      </c>
      <c r="AJ3528" s="5" t="s">
        <v>3621</v>
      </c>
      <c r="AK3528" s="5" t="s">
        <v>3620</v>
      </c>
    </row>
    <row r="3529" spans="35:37">
      <c r="AI3529" s="468">
        <v>45901</v>
      </c>
      <c r="AJ3529" s="5" t="s">
        <v>3579</v>
      </c>
      <c r="AK3529" s="5" t="s">
        <v>3622</v>
      </c>
    </row>
    <row r="3530" spans="35:37">
      <c r="AI3530" s="468">
        <v>45902</v>
      </c>
      <c r="AJ3530" s="5" t="s">
        <v>3624</v>
      </c>
      <c r="AK3530" s="5" t="s">
        <v>3623</v>
      </c>
    </row>
    <row r="3531" spans="35:37">
      <c r="AI3531" s="468">
        <v>45903</v>
      </c>
      <c r="AJ3531" s="5" t="s">
        <v>3626</v>
      </c>
      <c r="AK3531" s="5" t="s">
        <v>3625</v>
      </c>
    </row>
    <row r="3532" spans="35:37">
      <c r="AI3532" s="468">
        <v>45904</v>
      </c>
      <c r="AJ3532" s="5" t="s">
        <v>3628</v>
      </c>
      <c r="AK3532" s="5" t="s">
        <v>3627</v>
      </c>
    </row>
    <row r="3533" spans="35:37">
      <c r="AI3533" s="468">
        <v>45905</v>
      </c>
      <c r="AJ3533" s="5" t="s">
        <v>3617</v>
      </c>
      <c r="AK3533" s="5" t="s">
        <v>3618</v>
      </c>
    </row>
    <row r="3534" spans="35:37">
      <c r="AI3534" s="468">
        <v>45906</v>
      </c>
      <c r="AJ3534" s="5" t="s">
        <v>3619</v>
      </c>
      <c r="AK3534" s="5" t="s">
        <v>3620</v>
      </c>
    </row>
    <row r="3535" spans="35:37">
      <c r="AI3535" s="468">
        <v>45907</v>
      </c>
      <c r="AJ3535" s="5" t="s">
        <v>3621</v>
      </c>
      <c r="AK3535" s="5" t="s">
        <v>3622</v>
      </c>
    </row>
    <row r="3536" spans="35:37">
      <c r="AI3536" s="468">
        <v>45908</v>
      </c>
      <c r="AJ3536" s="5" t="s">
        <v>3579</v>
      </c>
      <c r="AK3536" s="5" t="s">
        <v>3623</v>
      </c>
    </row>
    <row r="3537" spans="35:37">
      <c r="AI3537" s="468">
        <v>45909</v>
      </c>
      <c r="AJ3537" s="5" t="s">
        <v>3624</v>
      </c>
      <c r="AK3537" s="5" t="s">
        <v>3625</v>
      </c>
    </row>
    <row r="3538" spans="35:37">
      <c r="AI3538" s="468">
        <v>45910</v>
      </c>
      <c r="AJ3538" s="5" t="s">
        <v>3626</v>
      </c>
      <c r="AK3538" s="5" t="s">
        <v>3627</v>
      </c>
    </row>
    <row r="3539" spans="35:37">
      <c r="AI3539" s="468">
        <v>45911</v>
      </c>
      <c r="AJ3539" s="5" t="s">
        <v>3628</v>
      </c>
      <c r="AK3539" s="5" t="s">
        <v>3618</v>
      </c>
    </row>
    <row r="3540" spans="35:37">
      <c r="AI3540" s="468">
        <v>45912</v>
      </c>
      <c r="AJ3540" s="5" t="s">
        <v>3617</v>
      </c>
      <c r="AK3540" s="5" t="s">
        <v>3620</v>
      </c>
    </row>
    <row r="3541" spans="35:37">
      <c r="AI3541" s="468">
        <v>45913</v>
      </c>
      <c r="AJ3541" s="5" t="s">
        <v>3619</v>
      </c>
      <c r="AK3541" s="5" t="s">
        <v>3622</v>
      </c>
    </row>
    <row r="3542" spans="35:37">
      <c r="AI3542" s="468">
        <v>45914</v>
      </c>
      <c r="AJ3542" s="5" t="s">
        <v>3621</v>
      </c>
      <c r="AK3542" s="5" t="s">
        <v>3623</v>
      </c>
    </row>
    <row r="3543" spans="35:37">
      <c r="AI3543" s="468">
        <v>45915</v>
      </c>
      <c r="AJ3543" s="5" t="s">
        <v>3579</v>
      </c>
      <c r="AK3543" s="5" t="s">
        <v>3625</v>
      </c>
    </row>
    <row r="3544" spans="35:37">
      <c r="AI3544" s="468">
        <v>45916</v>
      </c>
      <c r="AJ3544" s="5" t="s">
        <v>3624</v>
      </c>
      <c r="AK3544" s="5" t="s">
        <v>3627</v>
      </c>
    </row>
    <row r="3545" spans="35:37">
      <c r="AI3545" s="468">
        <v>45917</v>
      </c>
      <c r="AJ3545" s="5" t="s">
        <v>3626</v>
      </c>
      <c r="AK3545" s="5" t="s">
        <v>3618</v>
      </c>
    </row>
    <row r="3546" spans="35:37">
      <c r="AI3546" s="468">
        <v>45918</v>
      </c>
      <c r="AJ3546" s="5" t="s">
        <v>3628</v>
      </c>
      <c r="AK3546" s="5" t="s">
        <v>3620</v>
      </c>
    </row>
    <row r="3547" spans="35:37">
      <c r="AI3547" s="468">
        <v>45919</v>
      </c>
      <c r="AJ3547" s="5" t="s">
        <v>3617</v>
      </c>
      <c r="AK3547" s="5" t="s">
        <v>3622</v>
      </c>
    </row>
    <row r="3548" spans="35:37">
      <c r="AI3548" s="468">
        <v>45920</v>
      </c>
      <c r="AJ3548" s="5" t="s">
        <v>3619</v>
      </c>
      <c r="AK3548" s="5" t="s">
        <v>3623</v>
      </c>
    </row>
    <row r="3549" spans="35:37">
      <c r="AI3549" s="468">
        <v>45921</v>
      </c>
      <c r="AJ3549" s="5" t="s">
        <v>3621</v>
      </c>
      <c r="AK3549" s="5" t="s">
        <v>3625</v>
      </c>
    </row>
    <row r="3550" spans="35:37">
      <c r="AI3550" s="468">
        <v>45922</v>
      </c>
      <c r="AJ3550" s="5" t="s">
        <v>3579</v>
      </c>
      <c r="AK3550" s="5" t="s">
        <v>3618</v>
      </c>
    </row>
    <row r="3551" spans="35:37">
      <c r="AI3551" s="468">
        <v>45923</v>
      </c>
      <c r="AJ3551" s="5" t="s">
        <v>3624</v>
      </c>
      <c r="AK3551" s="5" t="s">
        <v>3620</v>
      </c>
    </row>
    <row r="3552" spans="35:37">
      <c r="AI3552" s="468">
        <v>45924</v>
      </c>
      <c r="AJ3552" s="5" t="s">
        <v>3626</v>
      </c>
      <c r="AK3552" s="5" t="s">
        <v>3622</v>
      </c>
    </row>
    <row r="3553" spans="35:37">
      <c r="AI3553" s="468">
        <v>45925</v>
      </c>
      <c r="AJ3553" s="5" t="s">
        <v>3628</v>
      </c>
      <c r="AK3553" s="5" t="s">
        <v>3623</v>
      </c>
    </row>
    <row r="3554" spans="35:37">
      <c r="AI3554" s="468">
        <v>45926</v>
      </c>
      <c r="AJ3554" s="5" t="s">
        <v>3617</v>
      </c>
      <c r="AK3554" s="5" t="s">
        <v>3625</v>
      </c>
    </row>
    <row r="3555" spans="35:37">
      <c r="AI3555" s="468">
        <v>45927</v>
      </c>
      <c r="AJ3555" s="5" t="s">
        <v>3619</v>
      </c>
      <c r="AK3555" s="5" t="s">
        <v>3627</v>
      </c>
    </row>
    <row r="3556" spans="35:37">
      <c r="AI3556" s="468">
        <v>45928</v>
      </c>
      <c r="AJ3556" s="5" t="s">
        <v>3621</v>
      </c>
      <c r="AK3556" s="5" t="s">
        <v>3618</v>
      </c>
    </row>
    <row r="3557" spans="35:37">
      <c r="AI3557" s="468">
        <v>45929</v>
      </c>
      <c r="AJ3557" s="5" t="s">
        <v>3579</v>
      </c>
      <c r="AK3557" s="5" t="s">
        <v>3620</v>
      </c>
    </row>
    <row r="3558" spans="35:37">
      <c r="AI3558" s="468">
        <v>45930</v>
      </c>
      <c r="AJ3558" s="5" t="s">
        <v>3624</v>
      </c>
      <c r="AK3558" s="5" t="s">
        <v>3622</v>
      </c>
    </row>
    <row r="3559" spans="35:37">
      <c r="AI3559" s="468">
        <v>45931</v>
      </c>
      <c r="AJ3559" s="5" t="s">
        <v>3626</v>
      </c>
      <c r="AK3559" s="5" t="s">
        <v>3623</v>
      </c>
    </row>
    <row r="3560" spans="35:37">
      <c r="AI3560" s="468">
        <v>45932</v>
      </c>
      <c r="AJ3560" s="5" t="s">
        <v>3628</v>
      </c>
      <c r="AK3560" s="5" t="s">
        <v>3625</v>
      </c>
    </row>
    <row r="3561" spans="35:37">
      <c r="AI3561" s="468">
        <v>45933</v>
      </c>
      <c r="AJ3561" s="5" t="s">
        <v>3617</v>
      </c>
      <c r="AK3561" s="5" t="s">
        <v>3627</v>
      </c>
    </row>
    <row r="3562" spans="35:37">
      <c r="AI3562" s="468">
        <v>45934</v>
      </c>
      <c r="AJ3562" s="5" t="s">
        <v>3619</v>
      </c>
      <c r="AK3562" s="5" t="s">
        <v>3618</v>
      </c>
    </row>
    <row r="3563" spans="35:37">
      <c r="AI3563" s="468">
        <v>45935</v>
      </c>
      <c r="AJ3563" s="5" t="s">
        <v>3621</v>
      </c>
      <c r="AK3563" s="5" t="s">
        <v>3620</v>
      </c>
    </row>
    <row r="3564" spans="35:37">
      <c r="AI3564" s="468">
        <v>45936</v>
      </c>
      <c r="AJ3564" s="5" t="s">
        <v>3579</v>
      </c>
      <c r="AK3564" s="5" t="s">
        <v>3622</v>
      </c>
    </row>
    <row r="3565" spans="35:37">
      <c r="AI3565" s="468">
        <v>45937</v>
      </c>
      <c r="AJ3565" s="5" t="s">
        <v>3624</v>
      </c>
      <c r="AK3565" s="5" t="s">
        <v>3623</v>
      </c>
    </row>
    <row r="3566" spans="35:37">
      <c r="AI3566" s="468">
        <v>45938</v>
      </c>
      <c r="AJ3566" s="5" t="s">
        <v>3626</v>
      </c>
      <c r="AK3566" s="5" t="s">
        <v>3625</v>
      </c>
    </row>
    <row r="3567" spans="35:37">
      <c r="AI3567" s="468">
        <v>45939</v>
      </c>
      <c r="AJ3567" s="5" t="s">
        <v>3628</v>
      </c>
      <c r="AK3567" s="5" t="s">
        <v>3627</v>
      </c>
    </row>
    <row r="3568" spans="35:37">
      <c r="AI3568" s="468">
        <v>45940</v>
      </c>
      <c r="AJ3568" s="5" t="s">
        <v>3617</v>
      </c>
      <c r="AK3568" s="5" t="s">
        <v>3618</v>
      </c>
    </row>
    <row r="3569" spans="35:37">
      <c r="AI3569" s="468">
        <v>45941</v>
      </c>
      <c r="AJ3569" s="5" t="s">
        <v>3619</v>
      </c>
      <c r="AK3569" s="5" t="s">
        <v>3620</v>
      </c>
    </row>
    <row r="3570" spans="35:37">
      <c r="AI3570" s="468">
        <v>45942</v>
      </c>
      <c r="AJ3570" s="5" t="s">
        <v>3621</v>
      </c>
      <c r="AK3570" s="5" t="s">
        <v>3622</v>
      </c>
    </row>
    <row r="3571" spans="35:37">
      <c r="AI3571" s="468">
        <v>45943</v>
      </c>
      <c r="AJ3571" s="5" t="s">
        <v>3579</v>
      </c>
      <c r="AK3571" s="5" t="s">
        <v>3623</v>
      </c>
    </row>
    <row r="3572" spans="35:37">
      <c r="AI3572" s="468">
        <v>45944</v>
      </c>
      <c r="AJ3572" s="5" t="s">
        <v>3624</v>
      </c>
      <c r="AK3572" s="5" t="s">
        <v>3625</v>
      </c>
    </row>
    <row r="3573" spans="35:37">
      <c r="AI3573" s="468">
        <v>45945</v>
      </c>
      <c r="AJ3573" s="5" t="s">
        <v>3626</v>
      </c>
      <c r="AK3573" s="5" t="s">
        <v>3627</v>
      </c>
    </row>
    <row r="3574" spans="35:37">
      <c r="AI3574" s="468">
        <v>45946</v>
      </c>
      <c r="AJ3574" s="5" t="s">
        <v>3628</v>
      </c>
      <c r="AK3574" s="5" t="s">
        <v>3618</v>
      </c>
    </row>
    <row r="3575" spans="35:37">
      <c r="AI3575" s="468">
        <v>45947</v>
      </c>
      <c r="AJ3575" s="5" t="s">
        <v>3617</v>
      </c>
      <c r="AK3575" s="5" t="s">
        <v>3620</v>
      </c>
    </row>
    <row r="3576" spans="35:37">
      <c r="AI3576" s="468">
        <v>45948</v>
      </c>
      <c r="AJ3576" s="5" t="s">
        <v>3619</v>
      </c>
      <c r="AK3576" s="5" t="s">
        <v>3622</v>
      </c>
    </row>
    <row r="3577" spans="35:37">
      <c r="AI3577" s="468">
        <v>45949</v>
      </c>
      <c r="AJ3577" s="5" t="s">
        <v>3621</v>
      </c>
      <c r="AK3577" s="5" t="s">
        <v>3623</v>
      </c>
    </row>
    <row r="3578" spans="35:37">
      <c r="AI3578" s="468">
        <v>45950</v>
      </c>
      <c r="AJ3578" s="5" t="s">
        <v>3579</v>
      </c>
      <c r="AK3578" s="5" t="s">
        <v>3625</v>
      </c>
    </row>
    <row r="3579" spans="35:37">
      <c r="AI3579" s="468">
        <v>45951</v>
      </c>
      <c r="AJ3579" s="5" t="s">
        <v>3624</v>
      </c>
      <c r="AK3579" s="5" t="s">
        <v>3620</v>
      </c>
    </row>
    <row r="3580" spans="35:37">
      <c r="AI3580" s="468">
        <v>45952</v>
      </c>
      <c r="AJ3580" s="5" t="s">
        <v>3626</v>
      </c>
      <c r="AK3580" s="5" t="s">
        <v>3622</v>
      </c>
    </row>
    <row r="3581" spans="35:37">
      <c r="AI3581" s="468">
        <v>45953</v>
      </c>
      <c r="AJ3581" s="5" t="s">
        <v>3628</v>
      </c>
      <c r="AK3581" s="5" t="s">
        <v>3623</v>
      </c>
    </row>
    <row r="3582" spans="35:37">
      <c r="AI3582" s="468">
        <v>45954</v>
      </c>
      <c r="AJ3582" s="5" t="s">
        <v>3617</v>
      </c>
      <c r="AK3582" s="5" t="s">
        <v>3625</v>
      </c>
    </row>
    <row r="3583" spans="35:37">
      <c r="AI3583" s="468">
        <v>45955</v>
      </c>
      <c r="AJ3583" s="5" t="s">
        <v>3619</v>
      </c>
      <c r="AK3583" s="5" t="s">
        <v>3627</v>
      </c>
    </row>
    <row r="3584" spans="35:37">
      <c r="AI3584" s="468">
        <v>45956</v>
      </c>
      <c r="AJ3584" s="5" t="s">
        <v>3621</v>
      </c>
      <c r="AK3584" s="5" t="s">
        <v>3618</v>
      </c>
    </row>
    <row r="3585" spans="35:37">
      <c r="AI3585" s="468">
        <v>45957</v>
      </c>
      <c r="AJ3585" s="5" t="s">
        <v>3579</v>
      </c>
      <c r="AK3585" s="5" t="s">
        <v>3620</v>
      </c>
    </row>
    <row r="3586" spans="35:37">
      <c r="AI3586" s="468">
        <v>45958</v>
      </c>
      <c r="AJ3586" s="5" t="s">
        <v>3624</v>
      </c>
      <c r="AK3586" s="5" t="s">
        <v>3622</v>
      </c>
    </row>
    <row r="3587" spans="35:37">
      <c r="AI3587" s="468">
        <v>45959</v>
      </c>
      <c r="AJ3587" s="5" t="s">
        <v>3626</v>
      </c>
      <c r="AK3587" s="5" t="s">
        <v>3623</v>
      </c>
    </row>
    <row r="3588" spans="35:37">
      <c r="AI3588" s="468">
        <v>45960</v>
      </c>
      <c r="AJ3588" s="5" t="s">
        <v>3628</v>
      </c>
      <c r="AK3588" s="5" t="s">
        <v>3625</v>
      </c>
    </row>
    <row r="3589" spans="35:37">
      <c r="AI3589" s="468">
        <v>45961</v>
      </c>
      <c r="AJ3589" s="5" t="s">
        <v>3617</v>
      </c>
      <c r="AK3589" s="5" t="s">
        <v>3627</v>
      </c>
    </row>
    <row r="3590" spans="35:37">
      <c r="AI3590" s="468">
        <v>45962</v>
      </c>
      <c r="AJ3590" s="5" t="s">
        <v>3619</v>
      </c>
      <c r="AK3590" s="5" t="s">
        <v>3618</v>
      </c>
    </row>
    <row r="3591" spans="35:37">
      <c r="AI3591" s="468">
        <v>45963</v>
      </c>
      <c r="AJ3591" s="5" t="s">
        <v>3621</v>
      </c>
      <c r="AK3591" s="5" t="s">
        <v>3620</v>
      </c>
    </row>
    <row r="3592" spans="35:37">
      <c r="AI3592" s="468">
        <v>45964</v>
      </c>
      <c r="AJ3592" s="5" t="s">
        <v>3579</v>
      </c>
      <c r="AK3592" s="5" t="s">
        <v>3622</v>
      </c>
    </row>
    <row r="3593" spans="35:37">
      <c r="AI3593" s="468">
        <v>45965</v>
      </c>
      <c r="AJ3593" s="5" t="s">
        <v>3624</v>
      </c>
      <c r="AK3593" s="5" t="s">
        <v>3623</v>
      </c>
    </row>
    <row r="3594" spans="35:37">
      <c r="AI3594" s="468">
        <v>45966</v>
      </c>
      <c r="AJ3594" s="5" t="s">
        <v>3626</v>
      </c>
      <c r="AK3594" s="5" t="s">
        <v>3625</v>
      </c>
    </row>
    <row r="3595" spans="35:37">
      <c r="AI3595" s="468">
        <v>45967</v>
      </c>
      <c r="AJ3595" s="5" t="s">
        <v>3628</v>
      </c>
      <c r="AK3595" s="5" t="s">
        <v>3627</v>
      </c>
    </row>
    <row r="3596" spans="35:37">
      <c r="AI3596" s="468">
        <v>45968</v>
      </c>
      <c r="AJ3596" s="5" t="s">
        <v>3617</v>
      </c>
      <c r="AK3596" s="5" t="s">
        <v>3618</v>
      </c>
    </row>
    <row r="3597" spans="35:37">
      <c r="AI3597" s="468">
        <v>45969</v>
      </c>
      <c r="AJ3597" s="5" t="s">
        <v>3619</v>
      </c>
      <c r="AK3597" s="5" t="s">
        <v>3620</v>
      </c>
    </row>
    <row r="3598" spans="35:37">
      <c r="AI3598" s="468">
        <v>45970</v>
      </c>
      <c r="AJ3598" s="5" t="s">
        <v>3621</v>
      </c>
      <c r="AK3598" s="5" t="s">
        <v>3622</v>
      </c>
    </row>
    <row r="3599" spans="35:37">
      <c r="AI3599" s="468">
        <v>45971</v>
      </c>
      <c r="AJ3599" s="5" t="s">
        <v>3579</v>
      </c>
      <c r="AK3599" s="5" t="s">
        <v>3623</v>
      </c>
    </row>
    <row r="3600" spans="35:37">
      <c r="AI3600" s="468">
        <v>45972</v>
      </c>
      <c r="AJ3600" s="5" t="s">
        <v>3624</v>
      </c>
      <c r="AK3600" s="5" t="s">
        <v>3625</v>
      </c>
    </row>
    <row r="3601" spans="35:37">
      <c r="AI3601" s="468">
        <v>45973</v>
      </c>
      <c r="AJ3601" s="5" t="s">
        <v>3626</v>
      </c>
      <c r="AK3601" s="5" t="s">
        <v>3627</v>
      </c>
    </row>
    <row r="3602" spans="35:37">
      <c r="AI3602" s="468">
        <v>45974</v>
      </c>
      <c r="AJ3602" s="5" t="s">
        <v>3628</v>
      </c>
      <c r="AK3602" s="5" t="s">
        <v>3618</v>
      </c>
    </row>
    <row r="3603" spans="35:37">
      <c r="AI3603" s="468">
        <v>45975</v>
      </c>
      <c r="AJ3603" s="5" t="s">
        <v>3617</v>
      </c>
      <c r="AK3603" s="5" t="s">
        <v>3620</v>
      </c>
    </row>
    <row r="3604" spans="35:37">
      <c r="AI3604" s="468">
        <v>45976</v>
      </c>
      <c r="AJ3604" s="5" t="s">
        <v>3619</v>
      </c>
      <c r="AK3604" s="5" t="s">
        <v>3622</v>
      </c>
    </row>
    <row r="3605" spans="35:37">
      <c r="AI3605" s="468">
        <v>45977</v>
      </c>
      <c r="AJ3605" s="5" t="s">
        <v>3621</v>
      </c>
      <c r="AK3605" s="5" t="s">
        <v>3623</v>
      </c>
    </row>
    <row r="3606" spans="35:37">
      <c r="AI3606" s="468">
        <v>45978</v>
      </c>
      <c r="AJ3606" s="5" t="s">
        <v>3579</v>
      </c>
      <c r="AK3606" s="5" t="s">
        <v>3625</v>
      </c>
    </row>
    <row r="3607" spans="35:37">
      <c r="AI3607" s="468">
        <v>45979</v>
      </c>
      <c r="AJ3607" s="5" t="s">
        <v>3624</v>
      </c>
      <c r="AK3607" s="5" t="s">
        <v>3627</v>
      </c>
    </row>
    <row r="3608" spans="35:37">
      <c r="AI3608" s="468">
        <v>45980</v>
      </c>
      <c r="AJ3608" s="5" t="s">
        <v>3626</v>
      </c>
      <c r="AK3608" s="5" t="s">
        <v>3618</v>
      </c>
    </row>
    <row r="3609" spans="35:37">
      <c r="AI3609" s="468">
        <v>45981</v>
      </c>
      <c r="AJ3609" s="5" t="s">
        <v>3628</v>
      </c>
      <c r="AK3609" s="5" t="s">
        <v>3622</v>
      </c>
    </row>
    <row r="3610" spans="35:37">
      <c r="AI3610" s="468">
        <v>45982</v>
      </c>
      <c r="AJ3610" s="5" t="s">
        <v>3617</v>
      </c>
      <c r="AK3610" s="5" t="s">
        <v>3623</v>
      </c>
    </row>
    <row r="3611" spans="35:37">
      <c r="AI3611" s="468">
        <v>45983</v>
      </c>
      <c r="AJ3611" s="5" t="s">
        <v>3619</v>
      </c>
      <c r="AK3611" s="5" t="s">
        <v>3625</v>
      </c>
    </row>
    <row r="3612" spans="35:37">
      <c r="AI3612" s="468">
        <v>45984</v>
      </c>
      <c r="AJ3612" s="5" t="s">
        <v>3621</v>
      </c>
      <c r="AK3612" s="5" t="s">
        <v>3627</v>
      </c>
    </row>
    <row r="3613" spans="35:37">
      <c r="AI3613" s="468">
        <v>45985</v>
      </c>
      <c r="AJ3613" s="5" t="s">
        <v>3579</v>
      </c>
      <c r="AK3613" s="5" t="s">
        <v>3618</v>
      </c>
    </row>
    <row r="3614" spans="35:37">
      <c r="AI3614" s="468">
        <v>45986</v>
      </c>
      <c r="AJ3614" s="5" t="s">
        <v>3624</v>
      </c>
      <c r="AK3614" s="5" t="s">
        <v>3620</v>
      </c>
    </row>
    <row r="3615" spans="35:37">
      <c r="AI3615" s="468">
        <v>45987</v>
      </c>
      <c r="AJ3615" s="5" t="s">
        <v>3626</v>
      </c>
      <c r="AK3615" s="5" t="s">
        <v>3622</v>
      </c>
    </row>
    <row r="3616" spans="35:37">
      <c r="AI3616" s="468">
        <v>45988</v>
      </c>
      <c r="AJ3616" s="5" t="s">
        <v>3628</v>
      </c>
      <c r="AK3616" s="5" t="s">
        <v>3623</v>
      </c>
    </row>
    <row r="3617" spans="35:37">
      <c r="AI3617" s="468">
        <v>45989</v>
      </c>
      <c r="AJ3617" s="5" t="s">
        <v>3617</v>
      </c>
      <c r="AK3617" s="5" t="s">
        <v>3625</v>
      </c>
    </row>
    <row r="3618" spans="35:37">
      <c r="AI3618" s="468">
        <v>45990</v>
      </c>
      <c r="AJ3618" s="5" t="s">
        <v>3619</v>
      </c>
      <c r="AK3618" s="5" t="s">
        <v>3627</v>
      </c>
    </row>
    <row r="3619" spans="35:37">
      <c r="AI3619" s="468">
        <v>45991</v>
      </c>
      <c r="AJ3619" s="5" t="s">
        <v>3621</v>
      </c>
      <c r="AK3619" s="5" t="s">
        <v>3618</v>
      </c>
    </row>
    <row r="3620" spans="35:37">
      <c r="AI3620" s="468">
        <v>45992</v>
      </c>
      <c r="AJ3620" s="5" t="s">
        <v>3579</v>
      </c>
      <c r="AK3620" s="5" t="s">
        <v>3620</v>
      </c>
    </row>
    <row r="3621" spans="35:37">
      <c r="AI3621" s="468">
        <v>45993</v>
      </c>
      <c r="AJ3621" s="5" t="s">
        <v>3624</v>
      </c>
      <c r="AK3621" s="5" t="s">
        <v>3622</v>
      </c>
    </row>
    <row r="3622" spans="35:37">
      <c r="AI3622" s="468">
        <v>45994</v>
      </c>
      <c r="AJ3622" s="5" t="s">
        <v>3626</v>
      </c>
      <c r="AK3622" s="5" t="s">
        <v>3623</v>
      </c>
    </row>
    <row r="3623" spans="35:37">
      <c r="AI3623" s="468">
        <v>45995</v>
      </c>
      <c r="AJ3623" s="5" t="s">
        <v>3628</v>
      </c>
      <c r="AK3623" s="5" t="s">
        <v>3625</v>
      </c>
    </row>
    <row r="3624" spans="35:37">
      <c r="AI3624" s="468">
        <v>45996</v>
      </c>
      <c r="AJ3624" s="5" t="s">
        <v>3617</v>
      </c>
      <c r="AK3624" s="5" t="s">
        <v>3627</v>
      </c>
    </row>
    <row r="3625" spans="35:37">
      <c r="AI3625" s="468">
        <v>45997</v>
      </c>
      <c r="AJ3625" s="5" t="s">
        <v>3619</v>
      </c>
      <c r="AK3625" s="5" t="s">
        <v>3618</v>
      </c>
    </row>
    <row r="3626" spans="35:37">
      <c r="AI3626" s="468">
        <v>45998</v>
      </c>
      <c r="AJ3626" s="5" t="s">
        <v>3621</v>
      </c>
      <c r="AK3626" s="5" t="s">
        <v>3620</v>
      </c>
    </row>
    <row r="3627" spans="35:37">
      <c r="AI3627" s="468">
        <v>45999</v>
      </c>
      <c r="AJ3627" s="5" t="s">
        <v>3579</v>
      </c>
      <c r="AK3627" s="5" t="s">
        <v>3622</v>
      </c>
    </row>
    <row r="3628" spans="35:37">
      <c r="AI3628" s="468">
        <v>46000</v>
      </c>
      <c r="AJ3628" s="5" t="s">
        <v>3624</v>
      </c>
      <c r="AK3628" s="5" t="s">
        <v>3623</v>
      </c>
    </row>
    <row r="3629" spans="35:37">
      <c r="AI3629" s="468">
        <v>46001</v>
      </c>
      <c r="AJ3629" s="5" t="s">
        <v>3626</v>
      </c>
      <c r="AK3629" s="5" t="s">
        <v>3625</v>
      </c>
    </row>
    <row r="3630" spans="35:37">
      <c r="AI3630" s="468">
        <v>46002</v>
      </c>
      <c r="AJ3630" s="5" t="s">
        <v>3628</v>
      </c>
      <c r="AK3630" s="5" t="s">
        <v>3627</v>
      </c>
    </row>
    <row r="3631" spans="35:37">
      <c r="AI3631" s="468">
        <v>46003</v>
      </c>
      <c r="AJ3631" s="5" t="s">
        <v>3617</v>
      </c>
      <c r="AK3631" s="5" t="s">
        <v>3618</v>
      </c>
    </row>
    <row r="3632" spans="35:37">
      <c r="AI3632" s="468">
        <v>46004</v>
      </c>
      <c r="AJ3632" s="5" t="s">
        <v>3619</v>
      </c>
      <c r="AK3632" s="5" t="s">
        <v>3620</v>
      </c>
    </row>
    <row r="3633" spans="35:37">
      <c r="AI3633" s="468">
        <v>46005</v>
      </c>
      <c r="AJ3633" s="5" t="s">
        <v>3621</v>
      </c>
      <c r="AK3633" s="5" t="s">
        <v>3622</v>
      </c>
    </row>
    <row r="3634" spans="35:37">
      <c r="AI3634" s="468">
        <v>46006</v>
      </c>
      <c r="AJ3634" s="5" t="s">
        <v>3579</v>
      </c>
      <c r="AK3634" s="5" t="s">
        <v>3623</v>
      </c>
    </row>
    <row r="3635" spans="35:37">
      <c r="AI3635" s="468">
        <v>46007</v>
      </c>
      <c r="AJ3635" s="5" t="s">
        <v>3624</v>
      </c>
      <c r="AK3635" s="5" t="s">
        <v>3625</v>
      </c>
    </row>
    <row r="3636" spans="35:37">
      <c r="AI3636" s="468">
        <v>46008</v>
      </c>
      <c r="AJ3636" s="5" t="s">
        <v>3626</v>
      </c>
      <c r="AK3636" s="5" t="s">
        <v>3627</v>
      </c>
    </row>
    <row r="3637" spans="35:37">
      <c r="AI3637" s="468">
        <v>46009</v>
      </c>
      <c r="AJ3637" s="5" t="s">
        <v>3628</v>
      </c>
      <c r="AK3637" s="5" t="s">
        <v>3618</v>
      </c>
    </row>
    <row r="3638" spans="35:37">
      <c r="AI3638" s="468">
        <v>46010</v>
      </c>
      <c r="AJ3638" s="5" t="s">
        <v>3617</v>
      </c>
      <c r="AK3638" s="5" t="s">
        <v>3620</v>
      </c>
    </row>
    <row r="3639" spans="35:37">
      <c r="AI3639" s="468">
        <v>46011</v>
      </c>
      <c r="AJ3639" s="5" t="s">
        <v>3619</v>
      </c>
      <c r="AK3639" s="5" t="s">
        <v>3623</v>
      </c>
    </row>
    <row r="3640" spans="35:37">
      <c r="AI3640" s="468">
        <v>46012</v>
      </c>
      <c r="AJ3640" s="5" t="s">
        <v>3621</v>
      </c>
      <c r="AK3640" s="5" t="s">
        <v>3625</v>
      </c>
    </row>
    <row r="3641" spans="35:37">
      <c r="AI3641" s="468">
        <v>46013</v>
      </c>
      <c r="AJ3641" s="5" t="s">
        <v>3579</v>
      </c>
      <c r="AK3641" s="5" t="s">
        <v>3627</v>
      </c>
    </row>
    <row r="3642" spans="35:37">
      <c r="AI3642" s="468">
        <v>46014</v>
      </c>
      <c r="AJ3642" s="5" t="s">
        <v>3624</v>
      </c>
      <c r="AK3642" s="5" t="s">
        <v>3618</v>
      </c>
    </row>
    <row r="3643" spans="35:37">
      <c r="AI3643" s="468">
        <v>46015</v>
      </c>
      <c r="AJ3643" s="5" t="s">
        <v>3626</v>
      </c>
      <c r="AK3643" s="5" t="s">
        <v>3620</v>
      </c>
    </row>
    <row r="3644" spans="35:37">
      <c r="AI3644" s="468">
        <v>46016</v>
      </c>
      <c r="AJ3644" s="5" t="s">
        <v>3628</v>
      </c>
      <c r="AK3644" s="5" t="s">
        <v>3622</v>
      </c>
    </row>
    <row r="3645" spans="35:37">
      <c r="AI3645" s="468">
        <v>46017</v>
      </c>
      <c r="AJ3645" s="5" t="s">
        <v>3617</v>
      </c>
      <c r="AK3645" s="5" t="s">
        <v>3623</v>
      </c>
    </row>
    <row r="3646" spans="35:37">
      <c r="AI3646" s="468">
        <v>46018</v>
      </c>
      <c r="AJ3646" s="5" t="s">
        <v>3619</v>
      </c>
      <c r="AK3646" s="5" t="s">
        <v>3625</v>
      </c>
    </row>
    <row r="3647" spans="35:37">
      <c r="AI3647" s="468">
        <v>46019</v>
      </c>
      <c r="AJ3647" s="5" t="s">
        <v>3621</v>
      </c>
      <c r="AK3647" s="5" t="s">
        <v>3627</v>
      </c>
    </row>
    <row r="3648" spans="35:37">
      <c r="AI3648" s="468">
        <v>46020</v>
      </c>
      <c r="AJ3648" s="5" t="s">
        <v>3579</v>
      </c>
      <c r="AK3648" s="5" t="s">
        <v>3618</v>
      </c>
    </row>
    <row r="3649" spans="35:37">
      <c r="AI3649" s="468">
        <v>46021</v>
      </c>
      <c r="AJ3649" s="5" t="s">
        <v>3624</v>
      </c>
      <c r="AK3649" s="5" t="s">
        <v>3620</v>
      </c>
    </row>
    <row r="3650" spans="35:37">
      <c r="AI3650" s="468">
        <v>46022</v>
      </c>
      <c r="AJ3650" s="5" t="s">
        <v>3626</v>
      </c>
      <c r="AK3650" s="5" t="s">
        <v>3622</v>
      </c>
    </row>
    <row r="3651" spans="35:37">
      <c r="AI3651" s="468">
        <v>46023</v>
      </c>
      <c r="AJ3651" s="5" t="s">
        <v>3628</v>
      </c>
      <c r="AK3651" s="5" t="s">
        <v>3623</v>
      </c>
    </row>
    <row r="3652" spans="35:37">
      <c r="AI3652" s="468">
        <v>46024</v>
      </c>
      <c r="AJ3652" s="5" t="s">
        <v>3617</v>
      </c>
      <c r="AK3652" s="5" t="s">
        <v>3625</v>
      </c>
    </row>
    <row r="3653" spans="35:37">
      <c r="AI3653" s="468">
        <v>46025</v>
      </c>
      <c r="AJ3653" s="5" t="s">
        <v>3619</v>
      </c>
      <c r="AK3653" s="5" t="s">
        <v>3627</v>
      </c>
    </row>
    <row r="3654" spans="35:37">
      <c r="AI3654" s="468">
        <v>46026</v>
      </c>
      <c r="AJ3654" s="5" t="s">
        <v>3621</v>
      </c>
      <c r="AK3654" s="5" t="s">
        <v>3618</v>
      </c>
    </row>
    <row r="3655" spans="35:37">
      <c r="AI3655" s="468">
        <v>46027</v>
      </c>
      <c r="AJ3655" s="5" t="s">
        <v>3579</v>
      </c>
      <c r="AK3655" s="5" t="s">
        <v>3620</v>
      </c>
    </row>
    <row r="3656" spans="35:37">
      <c r="AI3656" s="468">
        <v>46028</v>
      </c>
      <c r="AJ3656" s="5" t="s">
        <v>3624</v>
      </c>
      <c r="AK3656" s="5" t="s">
        <v>3622</v>
      </c>
    </row>
    <row r="3657" spans="35:37">
      <c r="AI3657" s="468">
        <v>46029</v>
      </c>
      <c r="AJ3657" s="5" t="s">
        <v>3626</v>
      </c>
      <c r="AK3657" s="5" t="s">
        <v>3623</v>
      </c>
    </row>
    <row r="3658" spans="35:37">
      <c r="AI3658" s="468">
        <v>46030</v>
      </c>
      <c r="AJ3658" s="5" t="s">
        <v>3628</v>
      </c>
      <c r="AK3658" s="5" t="s">
        <v>3625</v>
      </c>
    </row>
    <row r="3659" spans="35:37">
      <c r="AI3659" s="468">
        <v>46031</v>
      </c>
      <c r="AJ3659" s="5" t="s">
        <v>3617</v>
      </c>
      <c r="AK3659" s="5" t="s">
        <v>3627</v>
      </c>
    </row>
    <row r="3660" spans="35:37">
      <c r="AI3660" s="468">
        <v>46032</v>
      </c>
      <c r="AJ3660" s="5" t="s">
        <v>3619</v>
      </c>
      <c r="AK3660" s="5" t="s">
        <v>3618</v>
      </c>
    </row>
    <row r="3661" spans="35:37">
      <c r="AI3661" s="468">
        <v>46033</v>
      </c>
      <c r="AJ3661" s="5" t="s">
        <v>3621</v>
      </c>
      <c r="AK3661" s="5" t="s">
        <v>3620</v>
      </c>
    </row>
    <row r="3662" spans="35:37">
      <c r="AI3662" s="468">
        <v>46034</v>
      </c>
      <c r="AJ3662" s="5" t="s">
        <v>3579</v>
      </c>
      <c r="AK3662" s="5" t="s">
        <v>3622</v>
      </c>
    </row>
    <row r="3663" spans="35:37">
      <c r="AI3663" s="468">
        <v>46035</v>
      </c>
      <c r="AJ3663" s="5" t="s">
        <v>3624</v>
      </c>
      <c r="AK3663" s="5" t="s">
        <v>3623</v>
      </c>
    </row>
    <row r="3664" spans="35:37">
      <c r="AI3664" s="468">
        <v>46036</v>
      </c>
      <c r="AJ3664" s="5" t="s">
        <v>3626</v>
      </c>
      <c r="AK3664" s="5" t="s">
        <v>3625</v>
      </c>
    </row>
    <row r="3665" spans="35:37">
      <c r="AI3665" s="468">
        <v>46037</v>
      </c>
      <c r="AJ3665" s="5" t="s">
        <v>3628</v>
      </c>
      <c r="AK3665" s="5" t="s">
        <v>3627</v>
      </c>
    </row>
    <row r="3666" spans="35:37">
      <c r="AI3666" s="468">
        <v>46038</v>
      </c>
      <c r="AJ3666" s="5" t="s">
        <v>3617</v>
      </c>
      <c r="AK3666" s="5" t="s">
        <v>3618</v>
      </c>
    </row>
    <row r="3667" spans="35:37">
      <c r="AI3667" s="468">
        <v>46039</v>
      </c>
      <c r="AJ3667" s="5" t="s">
        <v>3619</v>
      </c>
      <c r="AK3667" s="5" t="s">
        <v>3620</v>
      </c>
    </row>
    <row r="3668" spans="35:37">
      <c r="AI3668" s="468">
        <v>46040</v>
      </c>
      <c r="AJ3668" s="5" t="s">
        <v>3621</v>
      </c>
      <c r="AK3668" s="5" t="s">
        <v>3622</v>
      </c>
    </row>
    <row r="3669" spans="35:37">
      <c r="AI3669" s="468">
        <v>46041</v>
      </c>
      <c r="AJ3669" s="5" t="s">
        <v>3579</v>
      </c>
      <c r="AK3669" s="5" t="s">
        <v>3625</v>
      </c>
    </row>
    <row r="3670" spans="35:37">
      <c r="AI3670" s="468">
        <v>46042</v>
      </c>
      <c r="AJ3670" s="5" t="s">
        <v>3624</v>
      </c>
      <c r="AK3670" s="5" t="s">
        <v>3627</v>
      </c>
    </row>
    <row r="3671" spans="35:37">
      <c r="AI3671" s="468">
        <v>46043</v>
      </c>
      <c r="AJ3671" s="5" t="s">
        <v>3626</v>
      </c>
      <c r="AK3671" s="5" t="s">
        <v>3618</v>
      </c>
    </row>
    <row r="3672" spans="35:37">
      <c r="AI3672" s="468">
        <v>46044</v>
      </c>
      <c r="AJ3672" s="5" t="s">
        <v>3628</v>
      </c>
      <c r="AK3672" s="5" t="s">
        <v>3620</v>
      </c>
    </row>
    <row r="3673" spans="35:37">
      <c r="AI3673" s="468">
        <v>46045</v>
      </c>
      <c r="AJ3673" s="5" t="s">
        <v>3617</v>
      </c>
      <c r="AK3673" s="5" t="s">
        <v>3622</v>
      </c>
    </row>
    <row r="3674" spans="35:37">
      <c r="AI3674" s="468">
        <v>46046</v>
      </c>
      <c r="AJ3674" s="5" t="s">
        <v>3619</v>
      </c>
      <c r="AK3674" s="5" t="s">
        <v>3623</v>
      </c>
    </row>
    <row r="3675" spans="35:37">
      <c r="AI3675" s="468">
        <v>46047</v>
      </c>
      <c r="AJ3675" s="5" t="s">
        <v>3621</v>
      </c>
      <c r="AK3675" s="5" t="s">
        <v>3625</v>
      </c>
    </row>
    <row r="3676" spans="35:37">
      <c r="AI3676" s="468">
        <v>46048</v>
      </c>
      <c r="AJ3676" s="5" t="s">
        <v>3579</v>
      </c>
      <c r="AK3676" s="5" t="s">
        <v>3627</v>
      </c>
    </row>
    <row r="3677" spans="35:37">
      <c r="AI3677" s="468">
        <v>46049</v>
      </c>
      <c r="AJ3677" s="5" t="s">
        <v>3624</v>
      </c>
      <c r="AK3677" s="5" t="s">
        <v>3618</v>
      </c>
    </row>
    <row r="3678" spans="35:37">
      <c r="AI3678" s="468">
        <v>46050</v>
      </c>
      <c r="AJ3678" s="5" t="s">
        <v>3626</v>
      </c>
      <c r="AK3678" s="5" t="s">
        <v>3620</v>
      </c>
    </row>
    <row r="3679" spans="35:37">
      <c r="AI3679" s="468">
        <v>46051</v>
      </c>
      <c r="AJ3679" s="5" t="s">
        <v>3628</v>
      </c>
      <c r="AK3679" s="5" t="s">
        <v>3622</v>
      </c>
    </row>
    <row r="3680" spans="35:37">
      <c r="AI3680" s="468">
        <v>46052</v>
      </c>
      <c r="AJ3680" s="5" t="s">
        <v>3617</v>
      </c>
      <c r="AK3680" s="5" t="s">
        <v>3623</v>
      </c>
    </row>
    <row r="3681" spans="35:37">
      <c r="AI3681" s="468">
        <v>46053</v>
      </c>
      <c r="AJ3681" s="5" t="s">
        <v>3619</v>
      </c>
      <c r="AK3681" s="5" t="s">
        <v>3625</v>
      </c>
    </row>
    <row r="3682" spans="35:37">
      <c r="AI3682" s="468">
        <v>46054</v>
      </c>
      <c r="AJ3682" s="5" t="s">
        <v>3621</v>
      </c>
      <c r="AK3682" s="5" t="s">
        <v>3627</v>
      </c>
    </row>
    <row r="3683" spans="35:37">
      <c r="AI3683" s="468">
        <v>46055</v>
      </c>
      <c r="AJ3683" s="5" t="s">
        <v>3579</v>
      </c>
      <c r="AK3683" s="5" t="s">
        <v>3618</v>
      </c>
    </row>
    <row r="3684" spans="35:37">
      <c r="AI3684" s="468">
        <v>46056</v>
      </c>
      <c r="AJ3684" s="5" t="s">
        <v>3624</v>
      </c>
      <c r="AK3684" s="5" t="s">
        <v>3620</v>
      </c>
    </row>
    <row r="3685" spans="35:37">
      <c r="AI3685" s="468">
        <v>46057</v>
      </c>
      <c r="AJ3685" s="5" t="s">
        <v>3626</v>
      </c>
      <c r="AK3685" s="5" t="s">
        <v>3622</v>
      </c>
    </row>
    <row r="3686" spans="35:37">
      <c r="AI3686" s="468">
        <v>46058</v>
      </c>
      <c r="AJ3686" s="5" t="s">
        <v>3628</v>
      </c>
      <c r="AK3686" s="5" t="s">
        <v>3623</v>
      </c>
    </row>
    <row r="3687" spans="35:37">
      <c r="AI3687" s="468">
        <v>46059</v>
      </c>
      <c r="AJ3687" s="5" t="s">
        <v>3617</v>
      </c>
      <c r="AK3687" s="5" t="s">
        <v>3625</v>
      </c>
    </row>
    <row r="3688" spans="35:37">
      <c r="AI3688" s="468">
        <v>46060</v>
      </c>
      <c r="AJ3688" s="5" t="s">
        <v>3619</v>
      </c>
      <c r="AK3688" s="5" t="s">
        <v>3627</v>
      </c>
    </row>
    <row r="3689" spans="35:37">
      <c r="AI3689" s="468">
        <v>46061</v>
      </c>
      <c r="AJ3689" s="5" t="s">
        <v>3621</v>
      </c>
      <c r="AK3689" s="5" t="s">
        <v>3618</v>
      </c>
    </row>
    <row r="3690" spans="35:37">
      <c r="AI3690" s="468">
        <v>46062</v>
      </c>
      <c r="AJ3690" s="5" t="s">
        <v>3579</v>
      </c>
      <c r="AK3690" s="5" t="s">
        <v>3620</v>
      </c>
    </row>
    <row r="3691" spans="35:37">
      <c r="AI3691" s="468">
        <v>46063</v>
      </c>
      <c r="AJ3691" s="5" t="s">
        <v>3624</v>
      </c>
      <c r="AK3691" s="5" t="s">
        <v>3622</v>
      </c>
    </row>
    <row r="3692" spans="35:37">
      <c r="AI3692" s="468">
        <v>46064</v>
      </c>
      <c r="AJ3692" s="5" t="s">
        <v>3626</v>
      </c>
      <c r="AK3692" s="5" t="s">
        <v>3623</v>
      </c>
    </row>
    <row r="3693" spans="35:37">
      <c r="AI3693" s="468">
        <v>46065</v>
      </c>
      <c r="AJ3693" s="5" t="s">
        <v>3628</v>
      </c>
      <c r="AK3693" s="5" t="s">
        <v>3625</v>
      </c>
    </row>
    <row r="3694" spans="35:37">
      <c r="AI3694" s="468">
        <v>46066</v>
      </c>
      <c r="AJ3694" s="5" t="s">
        <v>3617</v>
      </c>
      <c r="AK3694" s="5" t="s">
        <v>3627</v>
      </c>
    </row>
    <row r="3695" spans="35:37">
      <c r="AI3695" s="468">
        <v>46067</v>
      </c>
      <c r="AJ3695" s="5" t="s">
        <v>3619</v>
      </c>
      <c r="AK3695" s="5" t="s">
        <v>3618</v>
      </c>
    </row>
    <row r="3696" spans="35:37">
      <c r="AI3696" s="468">
        <v>46068</v>
      </c>
      <c r="AJ3696" s="5" t="s">
        <v>3621</v>
      </c>
      <c r="AK3696" s="5" t="s">
        <v>3620</v>
      </c>
    </row>
    <row r="3697" spans="35:37">
      <c r="AI3697" s="468">
        <v>46069</v>
      </c>
      <c r="AJ3697" s="5" t="s">
        <v>3579</v>
      </c>
      <c r="AK3697" s="5" t="s">
        <v>3622</v>
      </c>
    </row>
    <row r="3698" spans="35:37">
      <c r="AI3698" s="468">
        <v>46070</v>
      </c>
      <c r="AJ3698" s="5" t="s">
        <v>3624</v>
      </c>
      <c r="AK3698" s="5" t="s">
        <v>3627</v>
      </c>
    </row>
    <row r="3699" spans="35:37">
      <c r="AI3699" s="468">
        <v>46071</v>
      </c>
      <c r="AJ3699" s="5" t="s">
        <v>3626</v>
      </c>
      <c r="AK3699" s="5" t="s">
        <v>3618</v>
      </c>
    </row>
    <row r="3700" spans="35:37">
      <c r="AI3700" s="468">
        <v>46072</v>
      </c>
      <c r="AJ3700" s="5" t="s">
        <v>3628</v>
      </c>
      <c r="AK3700" s="5" t="s">
        <v>3620</v>
      </c>
    </row>
    <row r="3701" spans="35:37">
      <c r="AI3701" s="468">
        <v>46073</v>
      </c>
      <c r="AJ3701" s="5" t="s">
        <v>3617</v>
      </c>
      <c r="AK3701" s="5" t="s">
        <v>3622</v>
      </c>
    </row>
    <row r="3702" spans="35:37">
      <c r="AI3702" s="468">
        <v>46074</v>
      </c>
      <c r="AJ3702" s="5" t="s">
        <v>3619</v>
      </c>
      <c r="AK3702" s="5" t="s">
        <v>3623</v>
      </c>
    </row>
    <row r="3703" spans="35:37">
      <c r="AI3703" s="468">
        <v>46075</v>
      </c>
      <c r="AJ3703" s="5" t="s">
        <v>3621</v>
      </c>
      <c r="AK3703" s="5" t="s">
        <v>3625</v>
      </c>
    </row>
    <row r="3704" spans="35:37">
      <c r="AI3704" s="468">
        <v>46076</v>
      </c>
      <c r="AJ3704" s="5" t="s">
        <v>3579</v>
      </c>
      <c r="AK3704" s="5" t="s">
        <v>3627</v>
      </c>
    </row>
    <row r="3705" spans="35:37">
      <c r="AI3705" s="468">
        <v>46077</v>
      </c>
      <c r="AJ3705" s="5" t="s">
        <v>3624</v>
      </c>
      <c r="AK3705" s="5" t="s">
        <v>3618</v>
      </c>
    </row>
    <row r="3706" spans="35:37">
      <c r="AI3706" s="468">
        <v>46078</v>
      </c>
      <c r="AJ3706" s="5" t="s">
        <v>3626</v>
      </c>
      <c r="AK3706" s="5" t="s">
        <v>3620</v>
      </c>
    </row>
    <row r="3707" spans="35:37">
      <c r="AI3707" s="468">
        <v>46079</v>
      </c>
      <c r="AJ3707" s="5" t="s">
        <v>3628</v>
      </c>
      <c r="AK3707" s="5" t="s">
        <v>3622</v>
      </c>
    </row>
    <row r="3708" spans="35:37">
      <c r="AI3708" s="468">
        <v>46080</v>
      </c>
      <c r="AJ3708" s="5" t="s">
        <v>3617</v>
      </c>
      <c r="AK3708" s="5" t="s">
        <v>3623</v>
      </c>
    </row>
    <row r="3709" spans="35:37">
      <c r="AI3709" s="468">
        <v>46081</v>
      </c>
      <c r="AJ3709" s="5" t="s">
        <v>3619</v>
      </c>
      <c r="AK3709" s="5" t="s">
        <v>3625</v>
      </c>
    </row>
    <row r="3710" spans="35:37">
      <c r="AI3710" s="468">
        <v>46082</v>
      </c>
      <c r="AJ3710" s="5" t="s">
        <v>3621</v>
      </c>
      <c r="AK3710" s="5" t="s">
        <v>3627</v>
      </c>
    </row>
    <row r="3711" spans="35:37">
      <c r="AI3711" s="468">
        <v>46083</v>
      </c>
      <c r="AJ3711" s="5" t="s">
        <v>3579</v>
      </c>
      <c r="AK3711" s="5" t="s">
        <v>3618</v>
      </c>
    </row>
    <row r="3712" spans="35:37">
      <c r="AI3712" s="468">
        <v>46084</v>
      </c>
      <c r="AJ3712" s="5" t="s">
        <v>3624</v>
      </c>
      <c r="AK3712" s="5" t="s">
        <v>3620</v>
      </c>
    </row>
    <row r="3713" spans="35:37">
      <c r="AI3713" s="468">
        <v>46085</v>
      </c>
      <c r="AJ3713" s="5" t="s">
        <v>3626</v>
      </c>
      <c r="AK3713" s="5" t="s">
        <v>3622</v>
      </c>
    </row>
    <row r="3714" spans="35:37">
      <c r="AI3714" s="468">
        <v>46086</v>
      </c>
      <c r="AJ3714" s="5" t="s">
        <v>3628</v>
      </c>
      <c r="AK3714" s="5" t="s">
        <v>3623</v>
      </c>
    </row>
    <row r="3715" spans="35:37">
      <c r="AI3715" s="468">
        <v>46087</v>
      </c>
      <c r="AJ3715" s="5" t="s">
        <v>3617</v>
      </c>
      <c r="AK3715" s="5" t="s">
        <v>3625</v>
      </c>
    </row>
    <row r="3716" spans="35:37">
      <c r="AI3716" s="468">
        <v>46088</v>
      </c>
      <c r="AJ3716" s="5" t="s">
        <v>3619</v>
      </c>
      <c r="AK3716" s="5" t="s">
        <v>3627</v>
      </c>
    </row>
    <row r="3717" spans="35:37">
      <c r="AI3717" s="468">
        <v>46089</v>
      </c>
      <c r="AJ3717" s="5" t="s">
        <v>3621</v>
      </c>
      <c r="AK3717" s="5" t="s">
        <v>3618</v>
      </c>
    </row>
    <row r="3718" spans="35:37">
      <c r="AI3718" s="468">
        <v>46090</v>
      </c>
      <c r="AJ3718" s="5" t="s">
        <v>3579</v>
      </c>
      <c r="AK3718" s="5" t="s">
        <v>3620</v>
      </c>
    </row>
    <row r="3719" spans="35:37">
      <c r="AI3719" s="468">
        <v>46091</v>
      </c>
      <c r="AJ3719" s="5" t="s">
        <v>3624</v>
      </c>
      <c r="AK3719" s="5" t="s">
        <v>3622</v>
      </c>
    </row>
    <row r="3720" spans="35:37">
      <c r="AI3720" s="468">
        <v>46092</v>
      </c>
      <c r="AJ3720" s="5" t="s">
        <v>3626</v>
      </c>
      <c r="AK3720" s="5" t="s">
        <v>3623</v>
      </c>
    </row>
    <row r="3721" spans="35:37">
      <c r="AI3721" s="468">
        <v>46093</v>
      </c>
      <c r="AJ3721" s="5" t="s">
        <v>3628</v>
      </c>
      <c r="AK3721" s="5" t="s">
        <v>3625</v>
      </c>
    </row>
    <row r="3722" spans="35:37">
      <c r="AI3722" s="468">
        <v>46094</v>
      </c>
      <c r="AJ3722" s="5" t="s">
        <v>3617</v>
      </c>
      <c r="AK3722" s="5" t="s">
        <v>3627</v>
      </c>
    </row>
    <row r="3723" spans="35:37">
      <c r="AI3723" s="468">
        <v>46095</v>
      </c>
      <c r="AJ3723" s="5" t="s">
        <v>3619</v>
      </c>
      <c r="AK3723" s="5" t="s">
        <v>3618</v>
      </c>
    </row>
    <row r="3724" spans="35:37">
      <c r="AI3724" s="468">
        <v>46096</v>
      </c>
      <c r="AJ3724" s="5" t="s">
        <v>3621</v>
      </c>
      <c r="AK3724" s="5" t="s">
        <v>3620</v>
      </c>
    </row>
    <row r="3725" spans="35:37">
      <c r="AI3725" s="468">
        <v>46097</v>
      </c>
      <c r="AJ3725" s="5" t="s">
        <v>3579</v>
      </c>
      <c r="AK3725" s="5" t="s">
        <v>3622</v>
      </c>
    </row>
    <row r="3726" spans="35:37">
      <c r="AI3726" s="468">
        <v>46098</v>
      </c>
      <c r="AJ3726" s="5" t="s">
        <v>3624</v>
      </c>
      <c r="AK3726" s="5" t="s">
        <v>3623</v>
      </c>
    </row>
    <row r="3727" spans="35:37">
      <c r="AI3727" s="468">
        <v>46099</v>
      </c>
      <c r="AJ3727" s="5" t="s">
        <v>3626</v>
      </c>
      <c r="AK3727" s="5" t="s">
        <v>3625</v>
      </c>
    </row>
    <row r="3728" spans="35:37">
      <c r="AI3728" s="468">
        <v>46100</v>
      </c>
      <c r="AJ3728" s="5" t="s">
        <v>3628</v>
      </c>
      <c r="AK3728" s="5" t="s">
        <v>3618</v>
      </c>
    </row>
    <row r="3729" spans="35:37">
      <c r="AI3729" s="468">
        <v>46101</v>
      </c>
      <c r="AJ3729" s="5" t="s">
        <v>3617</v>
      </c>
      <c r="AK3729" s="5" t="s">
        <v>3620</v>
      </c>
    </row>
    <row r="3730" spans="35:37">
      <c r="AI3730" s="468">
        <v>46102</v>
      </c>
      <c r="AJ3730" s="5" t="s">
        <v>3619</v>
      </c>
      <c r="AK3730" s="5" t="s">
        <v>3622</v>
      </c>
    </row>
    <row r="3731" spans="35:37">
      <c r="AI3731" s="468">
        <v>46103</v>
      </c>
      <c r="AJ3731" s="5" t="s">
        <v>3621</v>
      </c>
      <c r="AK3731" s="5" t="s">
        <v>3623</v>
      </c>
    </row>
    <row r="3732" spans="35:37">
      <c r="AI3732" s="468">
        <v>46104</v>
      </c>
      <c r="AJ3732" s="5" t="s">
        <v>3579</v>
      </c>
      <c r="AK3732" s="5" t="s">
        <v>3625</v>
      </c>
    </row>
    <row r="3733" spans="35:37">
      <c r="AI3733" s="468">
        <v>46105</v>
      </c>
      <c r="AJ3733" s="5" t="s">
        <v>3624</v>
      </c>
      <c r="AK3733" s="5" t="s">
        <v>3627</v>
      </c>
    </row>
    <row r="3734" spans="35:37">
      <c r="AI3734" s="468">
        <v>46106</v>
      </c>
      <c r="AJ3734" s="5" t="s">
        <v>3626</v>
      </c>
      <c r="AK3734" s="5" t="s">
        <v>3618</v>
      </c>
    </row>
    <row r="3735" spans="35:37">
      <c r="AI3735" s="468">
        <v>46107</v>
      </c>
      <c r="AJ3735" s="5" t="s">
        <v>3628</v>
      </c>
      <c r="AK3735" s="5" t="s">
        <v>3620</v>
      </c>
    </row>
    <row r="3736" spans="35:37">
      <c r="AI3736" s="468">
        <v>46108</v>
      </c>
      <c r="AJ3736" s="5" t="s">
        <v>3617</v>
      </c>
      <c r="AK3736" s="5" t="s">
        <v>3622</v>
      </c>
    </row>
    <row r="3737" spans="35:37">
      <c r="AI3737" s="468">
        <v>46109</v>
      </c>
      <c r="AJ3737" s="5" t="s">
        <v>3619</v>
      </c>
      <c r="AK3737" s="5" t="s">
        <v>3623</v>
      </c>
    </row>
    <row r="3738" spans="35:37">
      <c r="AI3738" s="468">
        <v>46110</v>
      </c>
      <c r="AJ3738" s="5" t="s">
        <v>3621</v>
      </c>
      <c r="AK3738" s="5" t="s">
        <v>3625</v>
      </c>
    </row>
    <row r="3739" spans="35:37">
      <c r="AI3739" s="468">
        <v>46111</v>
      </c>
      <c r="AJ3739" s="5" t="s">
        <v>3579</v>
      </c>
      <c r="AK3739" s="5" t="s">
        <v>3627</v>
      </c>
    </row>
    <row r="3740" spans="35:37">
      <c r="AI3740" s="468">
        <v>46112</v>
      </c>
      <c r="AJ3740" s="5" t="s">
        <v>3624</v>
      </c>
      <c r="AK3740" s="5" t="s">
        <v>3618</v>
      </c>
    </row>
    <row r="3741" spans="35:37">
      <c r="AI3741" s="468">
        <v>46113</v>
      </c>
      <c r="AJ3741" s="5" t="s">
        <v>3626</v>
      </c>
      <c r="AK3741" s="5" t="s">
        <v>3620</v>
      </c>
    </row>
    <row r="3742" spans="35:37">
      <c r="AI3742" s="468">
        <v>46114</v>
      </c>
      <c r="AJ3742" s="5" t="s">
        <v>3628</v>
      </c>
      <c r="AK3742" s="5" t="s">
        <v>3622</v>
      </c>
    </row>
    <row r="3743" spans="35:37">
      <c r="AI3743" s="468">
        <v>46115</v>
      </c>
      <c r="AJ3743" s="5" t="s">
        <v>3617</v>
      </c>
      <c r="AK3743" s="5" t="s">
        <v>3623</v>
      </c>
    </row>
    <row r="3744" spans="35:37">
      <c r="AI3744" s="468">
        <v>46116</v>
      </c>
      <c r="AJ3744" s="5" t="s">
        <v>3619</v>
      </c>
      <c r="AK3744" s="5" t="s">
        <v>3625</v>
      </c>
    </row>
    <row r="3745" spans="35:37">
      <c r="AI3745" s="468">
        <v>46117</v>
      </c>
      <c r="AJ3745" s="5" t="s">
        <v>3621</v>
      </c>
      <c r="AK3745" s="5" t="s">
        <v>3627</v>
      </c>
    </row>
    <row r="3746" spans="35:37">
      <c r="AI3746" s="468">
        <v>46118</v>
      </c>
      <c r="AJ3746" s="5" t="s">
        <v>3579</v>
      </c>
      <c r="AK3746" s="5" t="s">
        <v>3618</v>
      </c>
    </row>
    <row r="3747" spans="35:37">
      <c r="AI3747" s="468">
        <v>46119</v>
      </c>
      <c r="AJ3747" s="5" t="s">
        <v>3624</v>
      </c>
      <c r="AK3747" s="5" t="s">
        <v>3620</v>
      </c>
    </row>
    <row r="3748" spans="35:37">
      <c r="AI3748" s="468">
        <v>46120</v>
      </c>
      <c r="AJ3748" s="5" t="s">
        <v>3626</v>
      </c>
      <c r="AK3748" s="5" t="s">
        <v>3622</v>
      </c>
    </row>
    <row r="3749" spans="35:37">
      <c r="AI3749" s="468">
        <v>46121</v>
      </c>
      <c r="AJ3749" s="5" t="s">
        <v>3628</v>
      </c>
      <c r="AK3749" s="5" t="s">
        <v>3623</v>
      </c>
    </row>
    <row r="3750" spans="35:37">
      <c r="AI3750" s="468">
        <v>46122</v>
      </c>
      <c r="AJ3750" s="5" t="s">
        <v>3617</v>
      </c>
      <c r="AK3750" s="5" t="s">
        <v>3625</v>
      </c>
    </row>
    <row r="3751" spans="35:37">
      <c r="AI3751" s="468">
        <v>46123</v>
      </c>
      <c r="AJ3751" s="5" t="s">
        <v>3619</v>
      </c>
      <c r="AK3751" s="5" t="s">
        <v>3627</v>
      </c>
    </row>
    <row r="3752" spans="35:37">
      <c r="AI3752" s="468">
        <v>46124</v>
      </c>
      <c r="AJ3752" s="5" t="s">
        <v>3621</v>
      </c>
      <c r="AK3752" s="5" t="s">
        <v>3618</v>
      </c>
    </row>
    <row r="3753" spans="35:37">
      <c r="AI3753" s="468">
        <v>46125</v>
      </c>
      <c r="AJ3753" s="5" t="s">
        <v>3579</v>
      </c>
      <c r="AK3753" s="5" t="s">
        <v>3620</v>
      </c>
    </row>
    <row r="3754" spans="35:37">
      <c r="AI3754" s="468">
        <v>46126</v>
      </c>
      <c r="AJ3754" s="5" t="s">
        <v>3624</v>
      </c>
      <c r="AK3754" s="5" t="s">
        <v>3622</v>
      </c>
    </row>
    <row r="3755" spans="35:37">
      <c r="AI3755" s="468">
        <v>46127</v>
      </c>
      <c r="AJ3755" s="5" t="s">
        <v>3626</v>
      </c>
      <c r="AK3755" s="5" t="s">
        <v>3623</v>
      </c>
    </row>
    <row r="3756" spans="35:37">
      <c r="AI3756" s="468">
        <v>46128</v>
      </c>
      <c r="AJ3756" s="5" t="s">
        <v>3628</v>
      </c>
      <c r="AK3756" s="5" t="s">
        <v>3625</v>
      </c>
    </row>
    <row r="3757" spans="35:37">
      <c r="AI3757" s="468">
        <v>46129</v>
      </c>
      <c r="AJ3757" s="5" t="s">
        <v>3617</v>
      </c>
      <c r="AK3757" s="5" t="s">
        <v>3620</v>
      </c>
    </row>
    <row r="3758" spans="35:37">
      <c r="AI3758" s="468">
        <v>46130</v>
      </c>
      <c r="AJ3758" s="5" t="s">
        <v>3619</v>
      </c>
      <c r="AK3758" s="5" t="s">
        <v>3622</v>
      </c>
    </row>
    <row r="3759" spans="35:37">
      <c r="AI3759" s="468">
        <v>46131</v>
      </c>
      <c r="AJ3759" s="5" t="s">
        <v>3621</v>
      </c>
      <c r="AK3759" s="5" t="s">
        <v>3623</v>
      </c>
    </row>
    <row r="3760" spans="35:37">
      <c r="AI3760" s="468">
        <v>46132</v>
      </c>
      <c r="AJ3760" s="5" t="s">
        <v>3579</v>
      </c>
      <c r="AK3760" s="5" t="s">
        <v>3625</v>
      </c>
    </row>
    <row r="3761" spans="35:37">
      <c r="AI3761" s="468">
        <v>46133</v>
      </c>
      <c r="AJ3761" s="5" t="s">
        <v>3624</v>
      </c>
      <c r="AK3761" s="5" t="s">
        <v>3627</v>
      </c>
    </row>
    <row r="3762" spans="35:37">
      <c r="AI3762" s="468">
        <v>46134</v>
      </c>
      <c r="AJ3762" s="5" t="s">
        <v>3626</v>
      </c>
      <c r="AK3762" s="5" t="s">
        <v>3618</v>
      </c>
    </row>
    <row r="3763" spans="35:37">
      <c r="AI3763" s="468">
        <v>46135</v>
      </c>
      <c r="AJ3763" s="5" t="s">
        <v>3628</v>
      </c>
      <c r="AK3763" s="5" t="s">
        <v>3620</v>
      </c>
    </row>
    <row r="3764" spans="35:37">
      <c r="AI3764" s="468">
        <v>46136</v>
      </c>
      <c r="AJ3764" s="5" t="s">
        <v>3617</v>
      </c>
      <c r="AK3764" s="5" t="s">
        <v>3622</v>
      </c>
    </row>
    <row r="3765" spans="35:37">
      <c r="AI3765" s="468">
        <v>46137</v>
      </c>
      <c r="AJ3765" s="5" t="s">
        <v>3619</v>
      </c>
      <c r="AK3765" s="5" t="s">
        <v>3623</v>
      </c>
    </row>
    <row r="3766" spans="35:37">
      <c r="AI3766" s="468">
        <v>46138</v>
      </c>
      <c r="AJ3766" s="5" t="s">
        <v>3621</v>
      </c>
      <c r="AK3766" s="5" t="s">
        <v>3625</v>
      </c>
    </row>
    <row r="3767" spans="35:37">
      <c r="AI3767" s="468">
        <v>46139</v>
      </c>
      <c r="AJ3767" s="5" t="s">
        <v>3579</v>
      </c>
      <c r="AK3767" s="5" t="s">
        <v>3627</v>
      </c>
    </row>
    <row r="3768" spans="35:37">
      <c r="AI3768" s="468">
        <v>46140</v>
      </c>
      <c r="AJ3768" s="5" t="s">
        <v>3624</v>
      </c>
      <c r="AK3768" s="5" t="s">
        <v>3618</v>
      </c>
    </row>
    <row r="3769" spans="35:37">
      <c r="AI3769" s="468">
        <v>46141</v>
      </c>
      <c r="AJ3769" s="5" t="s">
        <v>3626</v>
      </c>
      <c r="AK3769" s="5" t="s">
        <v>3620</v>
      </c>
    </row>
    <row r="3770" spans="35:37">
      <c r="AI3770" s="468">
        <v>46142</v>
      </c>
      <c r="AJ3770" s="5" t="s">
        <v>3628</v>
      </c>
      <c r="AK3770" s="5" t="s">
        <v>3622</v>
      </c>
    </row>
    <row r="3771" spans="35:37">
      <c r="AI3771" s="468">
        <v>46143</v>
      </c>
      <c r="AJ3771" s="5" t="s">
        <v>3617</v>
      </c>
      <c r="AK3771" s="5" t="s">
        <v>3623</v>
      </c>
    </row>
    <row r="3772" spans="35:37">
      <c r="AI3772" s="468">
        <v>46144</v>
      </c>
      <c r="AJ3772" s="5" t="s">
        <v>3619</v>
      </c>
      <c r="AK3772" s="5" t="s">
        <v>3625</v>
      </c>
    </row>
    <row r="3773" spans="35:37">
      <c r="AI3773" s="468">
        <v>46145</v>
      </c>
      <c r="AJ3773" s="5" t="s">
        <v>3621</v>
      </c>
      <c r="AK3773" s="5" t="s">
        <v>3627</v>
      </c>
    </row>
    <row r="3774" spans="35:37">
      <c r="AI3774" s="468">
        <v>46146</v>
      </c>
      <c r="AJ3774" s="5" t="s">
        <v>3579</v>
      </c>
      <c r="AK3774" s="5" t="s">
        <v>3618</v>
      </c>
    </row>
    <row r="3775" spans="35:37">
      <c r="AI3775" s="468">
        <v>46147</v>
      </c>
      <c r="AJ3775" s="5" t="s">
        <v>3624</v>
      </c>
      <c r="AK3775" s="5" t="s">
        <v>3620</v>
      </c>
    </row>
    <row r="3776" spans="35:37">
      <c r="AI3776" s="468">
        <v>46148</v>
      </c>
      <c r="AJ3776" s="5" t="s">
        <v>3626</v>
      </c>
      <c r="AK3776" s="5" t="s">
        <v>3622</v>
      </c>
    </row>
    <row r="3777" spans="35:37">
      <c r="AI3777" s="468">
        <v>46149</v>
      </c>
      <c r="AJ3777" s="5" t="s">
        <v>3628</v>
      </c>
      <c r="AK3777" s="5" t="s">
        <v>3623</v>
      </c>
    </row>
    <row r="3778" spans="35:37">
      <c r="AI3778" s="468">
        <v>46150</v>
      </c>
      <c r="AJ3778" s="5" t="s">
        <v>3617</v>
      </c>
      <c r="AK3778" s="5" t="s">
        <v>3625</v>
      </c>
    </row>
    <row r="3779" spans="35:37">
      <c r="AI3779" s="468">
        <v>46151</v>
      </c>
      <c r="AJ3779" s="5" t="s">
        <v>3619</v>
      </c>
      <c r="AK3779" s="5" t="s">
        <v>3627</v>
      </c>
    </row>
    <row r="3780" spans="35:37">
      <c r="AI3780" s="468">
        <v>46152</v>
      </c>
      <c r="AJ3780" s="5" t="s">
        <v>3621</v>
      </c>
      <c r="AK3780" s="5" t="s">
        <v>3618</v>
      </c>
    </row>
    <row r="3781" spans="35:37">
      <c r="AI3781" s="468">
        <v>46153</v>
      </c>
      <c r="AJ3781" s="5" t="s">
        <v>3579</v>
      </c>
      <c r="AK3781" s="5" t="s">
        <v>3620</v>
      </c>
    </row>
    <row r="3782" spans="35:37">
      <c r="AI3782" s="468">
        <v>46154</v>
      </c>
      <c r="AJ3782" s="5" t="s">
        <v>3624</v>
      </c>
      <c r="AK3782" s="5" t="s">
        <v>3622</v>
      </c>
    </row>
    <row r="3783" spans="35:37">
      <c r="AI3783" s="468">
        <v>46155</v>
      </c>
      <c r="AJ3783" s="5" t="s">
        <v>3626</v>
      </c>
      <c r="AK3783" s="5" t="s">
        <v>3623</v>
      </c>
    </row>
    <row r="3784" spans="35:37">
      <c r="AI3784" s="468">
        <v>46156</v>
      </c>
      <c r="AJ3784" s="5" t="s">
        <v>3628</v>
      </c>
      <c r="AK3784" s="5" t="s">
        <v>3625</v>
      </c>
    </row>
    <row r="3785" spans="35:37">
      <c r="AI3785" s="468">
        <v>46157</v>
      </c>
      <c r="AJ3785" s="5" t="s">
        <v>3617</v>
      </c>
      <c r="AK3785" s="5" t="s">
        <v>3627</v>
      </c>
    </row>
    <row r="3786" spans="35:37">
      <c r="AI3786" s="468">
        <v>46158</v>
      </c>
      <c r="AJ3786" s="5" t="s">
        <v>3619</v>
      </c>
      <c r="AK3786" s="5" t="s">
        <v>3618</v>
      </c>
    </row>
    <row r="3787" spans="35:37">
      <c r="AI3787" s="468">
        <v>46159</v>
      </c>
      <c r="AJ3787" s="5" t="s">
        <v>3621</v>
      </c>
      <c r="AK3787" s="5" t="s">
        <v>3622</v>
      </c>
    </row>
    <row r="3788" spans="35:37">
      <c r="AI3788" s="468">
        <v>46160</v>
      </c>
      <c r="AJ3788" s="5" t="s">
        <v>3579</v>
      </c>
      <c r="AK3788" s="5" t="s">
        <v>3623</v>
      </c>
    </row>
    <row r="3789" spans="35:37">
      <c r="AI3789" s="468">
        <v>46161</v>
      </c>
      <c r="AJ3789" s="5" t="s">
        <v>3624</v>
      </c>
      <c r="AK3789" s="5" t="s">
        <v>3625</v>
      </c>
    </row>
    <row r="3790" spans="35:37">
      <c r="AI3790" s="468">
        <v>46162</v>
      </c>
      <c r="AJ3790" s="5" t="s">
        <v>3626</v>
      </c>
      <c r="AK3790" s="5" t="s">
        <v>3627</v>
      </c>
    </row>
    <row r="3791" spans="35:37">
      <c r="AI3791" s="468">
        <v>46163</v>
      </c>
      <c r="AJ3791" s="5" t="s">
        <v>3628</v>
      </c>
      <c r="AK3791" s="5" t="s">
        <v>3618</v>
      </c>
    </row>
    <row r="3792" spans="35:37">
      <c r="AI3792" s="468">
        <v>46164</v>
      </c>
      <c r="AJ3792" s="5" t="s">
        <v>3617</v>
      </c>
      <c r="AK3792" s="5" t="s">
        <v>3620</v>
      </c>
    </row>
    <row r="3793" spans="35:37">
      <c r="AI3793" s="468">
        <v>46165</v>
      </c>
      <c r="AJ3793" s="5" t="s">
        <v>3619</v>
      </c>
      <c r="AK3793" s="5" t="s">
        <v>3622</v>
      </c>
    </row>
    <row r="3794" spans="35:37">
      <c r="AI3794" s="468">
        <v>46166</v>
      </c>
      <c r="AJ3794" s="5" t="s">
        <v>3621</v>
      </c>
      <c r="AK3794" s="5" t="s">
        <v>3623</v>
      </c>
    </row>
    <row r="3795" spans="35:37">
      <c r="AI3795" s="468">
        <v>46167</v>
      </c>
      <c r="AJ3795" s="5" t="s">
        <v>3579</v>
      </c>
      <c r="AK3795" s="5" t="s">
        <v>3625</v>
      </c>
    </row>
    <row r="3796" spans="35:37">
      <c r="AI3796" s="468">
        <v>46168</v>
      </c>
      <c r="AJ3796" s="5" t="s">
        <v>3624</v>
      </c>
      <c r="AK3796" s="5" t="s">
        <v>3627</v>
      </c>
    </row>
    <row r="3797" spans="35:37">
      <c r="AI3797" s="468">
        <v>46169</v>
      </c>
      <c r="AJ3797" s="5" t="s">
        <v>3626</v>
      </c>
      <c r="AK3797" s="5" t="s">
        <v>3618</v>
      </c>
    </row>
    <row r="3798" spans="35:37">
      <c r="AI3798" s="468">
        <v>46170</v>
      </c>
      <c r="AJ3798" s="5" t="s">
        <v>3628</v>
      </c>
      <c r="AK3798" s="5" t="s">
        <v>3620</v>
      </c>
    </row>
    <row r="3799" spans="35:37">
      <c r="AI3799" s="468">
        <v>46171</v>
      </c>
      <c r="AJ3799" s="5" t="s">
        <v>3617</v>
      </c>
      <c r="AK3799" s="5" t="s">
        <v>3622</v>
      </c>
    </row>
    <row r="3800" spans="35:37">
      <c r="AI3800" s="468">
        <v>46172</v>
      </c>
      <c r="AJ3800" s="5" t="s">
        <v>3619</v>
      </c>
      <c r="AK3800" s="5" t="s">
        <v>3623</v>
      </c>
    </row>
    <row r="3801" spans="35:37">
      <c r="AI3801" s="468">
        <v>46173</v>
      </c>
      <c r="AJ3801" s="5" t="s">
        <v>3621</v>
      </c>
      <c r="AK3801" s="5" t="s">
        <v>3625</v>
      </c>
    </row>
    <row r="3802" spans="35:37">
      <c r="AI3802" s="468">
        <v>46174</v>
      </c>
      <c r="AJ3802" s="5" t="s">
        <v>3579</v>
      </c>
      <c r="AK3802" s="5" t="s">
        <v>3627</v>
      </c>
    </row>
    <row r="3803" spans="35:37">
      <c r="AI3803" s="468">
        <v>46175</v>
      </c>
      <c r="AJ3803" s="5" t="s">
        <v>3624</v>
      </c>
      <c r="AK3803" s="5" t="s">
        <v>3618</v>
      </c>
    </row>
    <row r="3804" spans="35:37">
      <c r="AI3804" s="468">
        <v>46176</v>
      </c>
      <c r="AJ3804" s="5" t="s">
        <v>3626</v>
      </c>
      <c r="AK3804" s="5" t="s">
        <v>3620</v>
      </c>
    </row>
    <row r="3805" spans="35:37">
      <c r="AI3805" s="468">
        <v>46177</v>
      </c>
      <c r="AJ3805" s="5" t="s">
        <v>3628</v>
      </c>
      <c r="AK3805" s="5" t="s">
        <v>3622</v>
      </c>
    </row>
    <row r="3806" spans="35:37">
      <c r="AI3806" s="468">
        <v>46178</v>
      </c>
      <c r="AJ3806" s="5" t="s">
        <v>3617</v>
      </c>
      <c r="AK3806" s="5" t="s">
        <v>3623</v>
      </c>
    </row>
    <row r="3807" spans="35:37">
      <c r="AI3807" s="468">
        <v>46179</v>
      </c>
      <c r="AJ3807" s="5" t="s">
        <v>3619</v>
      </c>
      <c r="AK3807" s="5" t="s">
        <v>3625</v>
      </c>
    </row>
    <row r="3808" spans="35:37">
      <c r="AI3808" s="468">
        <v>46180</v>
      </c>
      <c r="AJ3808" s="5" t="s">
        <v>3621</v>
      </c>
      <c r="AK3808" s="5" t="s">
        <v>3627</v>
      </c>
    </row>
    <row r="3809" spans="35:37">
      <c r="AI3809" s="468">
        <v>46181</v>
      </c>
      <c r="AJ3809" s="5" t="s">
        <v>3579</v>
      </c>
      <c r="AK3809" s="5" t="s">
        <v>3618</v>
      </c>
    </row>
    <row r="3810" spans="35:37">
      <c r="AI3810" s="468">
        <v>46182</v>
      </c>
      <c r="AJ3810" s="5" t="s">
        <v>3624</v>
      </c>
      <c r="AK3810" s="5" t="s">
        <v>3620</v>
      </c>
    </row>
    <row r="3811" spans="35:37">
      <c r="AI3811" s="468">
        <v>46183</v>
      </c>
      <c r="AJ3811" s="5" t="s">
        <v>3626</v>
      </c>
      <c r="AK3811" s="5" t="s">
        <v>3622</v>
      </c>
    </row>
    <row r="3812" spans="35:37">
      <c r="AI3812" s="468">
        <v>46184</v>
      </c>
      <c r="AJ3812" s="5" t="s">
        <v>3628</v>
      </c>
      <c r="AK3812" s="5" t="s">
        <v>3623</v>
      </c>
    </row>
    <row r="3813" spans="35:37">
      <c r="AI3813" s="468">
        <v>46185</v>
      </c>
      <c r="AJ3813" s="5" t="s">
        <v>3617</v>
      </c>
      <c r="AK3813" s="5" t="s">
        <v>3625</v>
      </c>
    </row>
    <row r="3814" spans="35:37">
      <c r="AI3814" s="468">
        <v>46186</v>
      </c>
      <c r="AJ3814" s="5" t="s">
        <v>3619</v>
      </c>
      <c r="AK3814" s="5" t="s">
        <v>3627</v>
      </c>
    </row>
    <row r="3815" spans="35:37">
      <c r="AI3815" s="468">
        <v>46187</v>
      </c>
      <c r="AJ3815" s="5" t="s">
        <v>3621</v>
      </c>
      <c r="AK3815" s="5" t="s">
        <v>3618</v>
      </c>
    </row>
    <row r="3816" spans="35:37">
      <c r="AI3816" s="468">
        <v>46188</v>
      </c>
      <c r="AJ3816" s="5" t="s">
        <v>3579</v>
      </c>
      <c r="AK3816" s="5" t="s">
        <v>3623</v>
      </c>
    </row>
    <row r="3817" spans="35:37">
      <c r="AI3817" s="468">
        <v>46189</v>
      </c>
      <c r="AJ3817" s="5" t="s">
        <v>3624</v>
      </c>
      <c r="AK3817" s="5" t="s">
        <v>3625</v>
      </c>
    </row>
    <row r="3818" spans="35:37">
      <c r="AI3818" s="468">
        <v>46190</v>
      </c>
      <c r="AJ3818" s="5" t="s">
        <v>3626</v>
      </c>
      <c r="AK3818" s="5" t="s">
        <v>3627</v>
      </c>
    </row>
    <row r="3819" spans="35:37">
      <c r="AI3819" s="468">
        <v>46191</v>
      </c>
      <c r="AJ3819" s="5" t="s">
        <v>3628</v>
      </c>
      <c r="AK3819" s="5" t="s">
        <v>3618</v>
      </c>
    </row>
    <row r="3820" spans="35:37">
      <c r="AI3820" s="468">
        <v>46192</v>
      </c>
      <c r="AJ3820" s="5" t="s">
        <v>3617</v>
      </c>
      <c r="AK3820" s="5" t="s">
        <v>3620</v>
      </c>
    </row>
    <row r="3821" spans="35:37">
      <c r="AI3821" s="468">
        <v>46193</v>
      </c>
      <c r="AJ3821" s="5" t="s">
        <v>3619</v>
      </c>
      <c r="AK3821" s="5" t="s">
        <v>3622</v>
      </c>
    </row>
    <row r="3822" spans="35:37">
      <c r="AI3822" s="468">
        <v>46194</v>
      </c>
      <c r="AJ3822" s="5" t="s">
        <v>3621</v>
      </c>
      <c r="AK3822" s="5" t="s">
        <v>3623</v>
      </c>
    </row>
    <row r="3823" spans="35:37">
      <c r="AI3823" s="468">
        <v>46195</v>
      </c>
      <c r="AJ3823" s="5" t="s">
        <v>3579</v>
      </c>
      <c r="AK3823" s="5" t="s">
        <v>3625</v>
      </c>
    </row>
    <row r="3824" spans="35:37">
      <c r="AI3824" s="468">
        <v>46196</v>
      </c>
      <c r="AJ3824" s="5" t="s">
        <v>3624</v>
      </c>
      <c r="AK3824" s="5" t="s">
        <v>3627</v>
      </c>
    </row>
    <row r="3825" spans="35:37">
      <c r="AI3825" s="468">
        <v>46197</v>
      </c>
      <c r="AJ3825" s="5" t="s">
        <v>3626</v>
      </c>
      <c r="AK3825" s="5" t="s">
        <v>3618</v>
      </c>
    </row>
    <row r="3826" spans="35:37">
      <c r="AI3826" s="468">
        <v>46198</v>
      </c>
      <c r="AJ3826" s="5" t="s">
        <v>3628</v>
      </c>
      <c r="AK3826" s="5" t="s">
        <v>3620</v>
      </c>
    </row>
    <row r="3827" spans="35:37">
      <c r="AI3827" s="468">
        <v>46199</v>
      </c>
      <c r="AJ3827" s="5" t="s">
        <v>3617</v>
      </c>
      <c r="AK3827" s="5" t="s">
        <v>3622</v>
      </c>
    </row>
    <row r="3828" spans="35:37">
      <c r="AI3828" s="468">
        <v>46200</v>
      </c>
      <c r="AJ3828" s="5" t="s">
        <v>3619</v>
      </c>
      <c r="AK3828" s="5" t="s">
        <v>3623</v>
      </c>
    </row>
    <row r="3829" spans="35:37">
      <c r="AI3829" s="468">
        <v>46201</v>
      </c>
      <c r="AJ3829" s="5" t="s">
        <v>3621</v>
      </c>
      <c r="AK3829" s="5" t="s">
        <v>3625</v>
      </c>
    </row>
    <row r="3830" spans="35:37">
      <c r="AI3830" s="468">
        <v>46202</v>
      </c>
      <c r="AJ3830" s="5" t="s">
        <v>3579</v>
      </c>
      <c r="AK3830" s="5" t="s">
        <v>3627</v>
      </c>
    </row>
    <row r="3831" spans="35:37">
      <c r="AI3831" s="468">
        <v>46203</v>
      </c>
      <c r="AJ3831" s="5" t="s">
        <v>3624</v>
      </c>
      <c r="AK3831" s="5" t="s">
        <v>3618</v>
      </c>
    </row>
    <row r="3832" spans="35:37">
      <c r="AI3832" s="468">
        <v>46204</v>
      </c>
      <c r="AJ3832" s="5" t="s">
        <v>3626</v>
      </c>
      <c r="AK3832" s="5" t="s">
        <v>3620</v>
      </c>
    </row>
    <row r="3833" spans="35:37">
      <c r="AI3833" s="468">
        <v>46205</v>
      </c>
      <c r="AJ3833" s="5" t="s">
        <v>3628</v>
      </c>
      <c r="AK3833" s="5" t="s">
        <v>3622</v>
      </c>
    </row>
    <row r="3834" spans="35:37">
      <c r="AI3834" s="468">
        <v>46206</v>
      </c>
      <c r="AJ3834" s="5" t="s">
        <v>3617</v>
      </c>
      <c r="AK3834" s="5" t="s">
        <v>3623</v>
      </c>
    </row>
    <row r="3835" spans="35:37">
      <c r="AI3835" s="468">
        <v>46207</v>
      </c>
      <c r="AJ3835" s="5" t="s">
        <v>3619</v>
      </c>
      <c r="AK3835" s="5" t="s">
        <v>3625</v>
      </c>
    </row>
    <row r="3836" spans="35:37">
      <c r="AI3836" s="468">
        <v>46208</v>
      </c>
      <c r="AJ3836" s="5" t="s">
        <v>3621</v>
      </c>
      <c r="AK3836" s="5" t="s">
        <v>3627</v>
      </c>
    </row>
    <row r="3837" spans="35:37">
      <c r="AI3837" s="468">
        <v>46209</v>
      </c>
      <c r="AJ3837" s="5" t="s">
        <v>3579</v>
      </c>
      <c r="AK3837" s="5" t="s">
        <v>3618</v>
      </c>
    </row>
    <row r="3838" spans="35:37">
      <c r="AI3838" s="468">
        <v>46210</v>
      </c>
      <c r="AJ3838" s="5" t="s">
        <v>3624</v>
      </c>
      <c r="AK3838" s="5" t="s">
        <v>3620</v>
      </c>
    </row>
    <row r="3839" spans="35:37">
      <c r="AI3839" s="468">
        <v>46211</v>
      </c>
      <c r="AJ3839" s="5" t="s">
        <v>3626</v>
      </c>
      <c r="AK3839" s="5" t="s">
        <v>3622</v>
      </c>
    </row>
    <row r="3840" spans="35:37">
      <c r="AI3840" s="468">
        <v>46212</v>
      </c>
      <c r="AJ3840" s="5" t="s">
        <v>3628</v>
      </c>
      <c r="AK3840" s="5" t="s">
        <v>3623</v>
      </c>
    </row>
    <row r="3841" spans="35:37">
      <c r="AI3841" s="468">
        <v>46213</v>
      </c>
      <c r="AJ3841" s="5" t="s">
        <v>3617</v>
      </c>
      <c r="AK3841" s="5" t="s">
        <v>3625</v>
      </c>
    </row>
    <row r="3842" spans="35:37">
      <c r="AI3842" s="468">
        <v>46214</v>
      </c>
      <c r="AJ3842" s="5" t="s">
        <v>3619</v>
      </c>
      <c r="AK3842" s="5" t="s">
        <v>3627</v>
      </c>
    </row>
    <row r="3843" spans="35:37">
      <c r="AI3843" s="468">
        <v>46215</v>
      </c>
      <c r="AJ3843" s="5" t="s">
        <v>3621</v>
      </c>
      <c r="AK3843" s="5" t="s">
        <v>3618</v>
      </c>
    </row>
    <row r="3844" spans="35:37">
      <c r="AI3844" s="468">
        <v>46216</v>
      </c>
      <c r="AJ3844" s="5" t="s">
        <v>3579</v>
      </c>
      <c r="AK3844" s="5" t="s">
        <v>3620</v>
      </c>
    </row>
    <row r="3845" spans="35:37">
      <c r="AI3845" s="468">
        <v>46217</v>
      </c>
      <c r="AJ3845" s="5" t="s">
        <v>3624</v>
      </c>
      <c r="AK3845" s="5" t="s">
        <v>3625</v>
      </c>
    </row>
    <row r="3846" spans="35:37">
      <c r="AI3846" s="468">
        <v>46218</v>
      </c>
      <c r="AJ3846" s="5" t="s">
        <v>3626</v>
      </c>
      <c r="AK3846" s="5" t="s">
        <v>3627</v>
      </c>
    </row>
    <row r="3847" spans="35:37">
      <c r="AI3847" s="468">
        <v>46219</v>
      </c>
      <c r="AJ3847" s="5" t="s">
        <v>3628</v>
      </c>
      <c r="AK3847" s="5" t="s">
        <v>3618</v>
      </c>
    </row>
    <row r="3848" spans="35:37">
      <c r="AI3848" s="468">
        <v>46220</v>
      </c>
      <c r="AJ3848" s="5" t="s">
        <v>3617</v>
      </c>
      <c r="AK3848" s="5" t="s">
        <v>3620</v>
      </c>
    </row>
    <row r="3849" spans="35:37">
      <c r="AI3849" s="468">
        <v>46221</v>
      </c>
      <c r="AJ3849" s="5" t="s">
        <v>3619</v>
      </c>
      <c r="AK3849" s="5" t="s">
        <v>3622</v>
      </c>
    </row>
    <row r="3850" spans="35:37">
      <c r="AI3850" s="468">
        <v>46222</v>
      </c>
      <c r="AJ3850" s="5" t="s">
        <v>3621</v>
      </c>
      <c r="AK3850" s="5" t="s">
        <v>3623</v>
      </c>
    </row>
    <row r="3851" spans="35:37">
      <c r="AI3851" s="468">
        <v>46223</v>
      </c>
      <c r="AJ3851" s="5" t="s">
        <v>3579</v>
      </c>
      <c r="AK3851" s="5" t="s">
        <v>3625</v>
      </c>
    </row>
    <row r="3852" spans="35:37">
      <c r="AI3852" s="468">
        <v>46224</v>
      </c>
      <c r="AJ3852" s="5" t="s">
        <v>3624</v>
      </c>
      <c r="AK3852" s="5" t="s">
        <v>3627</v>
      </c>
    </row>
    <row r="3853" spans="35:37">
      <c r="AI3853" s="468">
        <v>46225</v>
      </c>
      <c r="AJ3853" s="5" t="s">
        <v>3626</v>
      </c>
      <c r="AK3853" s="5" t="s">
        <v>3618</v>
      </c>
    </row>
    <row r="3854" spans="35:37">
      <c r="AI3854" s="468">
        <v>46226</v>
      </c>
      <c r="AJ3854" s="5" t="s">
        <v>3628</v>
      </c>
      <c r="AK3854" s="5" t="s">
        <v>3620</v>
      </c>
    </row>
    <row r="3855" spans="35:37">
      <c r="AI3855" s="468">
        <v>46227</v>
      </c>
      <c r="AJ3855" s="5" t="s">
        <v>3617</v>
      </c>
      <c r="AK3855" s="5" t="s">
        <v>3622</v>
      </c>
    </row>
    <row r="3856" spans="35:37">
      <c r="AI3856" s="468">
        <v>46228</v>
      </c>
      <c r="AJ3856" s="5" t="s">
        <v>3619</v>
      </c>
      <c r="AK3856" s="5" t="s">
        <v>3623</v>
      </c>
    </row>
    <row r="3857" spans="35:37">
      <c r="AI3857" s="468">
        <v>46229</v>
      </c>
      <c r="AJ3857" s="5" t="s">
        <v>3621</v>
      </c>
      <c r="AK3857" s="5" t="s">
        <v>3625</v>
      </c>
    </row>
    <row r="3858" spans="35:37">
      <c r="AI3858" s="468">
        <v>46230</v>
      </c>
      <c r="AJ3858" s="5" t="s">
        <v>3579</v>
      </c>
      <c r="AK3858" s="5" t="s">
        <v>3627</v>
      </c>
    </row>
    <row r="3859" spans="35:37">
      <c r="AI3859" s="468">
        <v>46231</v>
      </c>
      <c r="AJ3859" s="5" t="s">
        <v>3624</v>
      </c>
      <c r="AK3859" s="5" t="s">
        <v>3618</v>
      </c>
    </row>
    <row r="3860" spans="35:37">
      <c r="AI3860" s="468">
        <v>46232</v>
      </c>
      <c r="AJ3860" s="5" t="s">
        <v>3626</v>
      </c>
      <c r="AK3860" s="5" t="s">
        <v>3620</v>
      </c>
    </row>
    <row r="3861" spans="35:37">
      <c r="AI3861" s="468">
        <v>46233</v>
      </c>
      <c r="AJ3861" s="5" t="s">
        <v>3628</v>
      </c>
      <c r="AK3861" s="5" t="s">
        <v>3622</v>
      </c>
    </row>
    <row r="3862" spans="35:37">
      <c r="AI3862" s="468">
        <v>46234</v>
      </c>
      <c r="AJ3862" s="5" t="s">
        <v>3617</v>
      </c>
      <c r="AK3862" s="5" t="s">
        <v>3623</v>
      </c>
    </row>
    <row r="3863" spans="35:37">
      <c r="AI3863" s="468">
        <v>46235</v>
      </c>
      <c r="AJ3863" s="5" t="s">
        <v>3619</v>
      </c>
      <c r="AK3863" s="5" t="s">
        <v>3625</v>
      </c>
    </row>
    <row r="3864" spans="35:37">
      <c r="AI3864" s="468">
        <v>46236</v>
      </c>
      <c r="AJ3864" s="5" t="s">
        <v>3621</v>
      </c>
      <c r="AK3864" s="5" t="s">
        <v>3627</v>
      </c>
    </row>
    <row r="3865" spans="35:37">
      <c r="AI3865" s="468">
        <v>46237</v>
      </c>
      <c r="AJ3865" s="5" t="s">
        <v>3579</v>
      </c>
      <c r="AK3865" s="5" t="s">
        <v>3618</v>
      </c>
    </row>
    <row r="3866" spans="35:37">
      <c r="AI3866" s="468">
        <v>46238</v>
      </c>
      <c r="AJ3866" s="5" t="s">
        <v>3624</v>
      </c>
      <c r="AK3866" s="5" t="s">
        <v>3620</v>
      </c>
    </row>
    <row r="3867" spans="35:37">
      <c r="AI3867" s="468">
        <v>46239</v>
      </c>
      <c r="AJ3867" s="5" t="s">
        <v>3626</v>
      </c>
      <c r="AK3867" s="5" t="s">
        <v>3622</v>
      </c>
    </row>
    <row r="3868" spans="35:37">
      <c r="AI3868" s="468">
        <v>46240</v>
      </c>
      <c r="AJ3868" s="5" t="s">
        <v>3628</v>
      </c>
      <c r="AK3868" s="5" t="s">
        <v>3623</v>
      </c>
    </row>
    <row r="3869" spans="35:37">
      <c r="AI3869" s="468">
        <v>46241</v>
      </c>
      <c r="AJ3869" s="5" t="s">
        <v>3617</v>
      </c>
      <c r="AK3869" s="5" t="s">
        <v>3625</v>
      </c>
    </row>
    <row r="3870" spans="35:37">
      <c r="AI3870" s="468">
        <v>46242</v>
      </c>
      <c r="AJ3870" s="5" t="s">
        <v>3619</v>
      </c>
      <c r="AK3870" s="5" t="s">
        <v>3627</v>
      </c>
    </row>
    <row r="3871" spans="35:37">
      <c r="AI3871" s="468">
        <v>46243</v>
      </c>
      <c r="AJ3871" s="5" t="s">
        <v>3621</v>
      </c>
      <c r="AK3871" s="5" t="s">
        <v>3618</v>
      </c>
    </row>
    <row r="3872" spans="35:37">
      <c r="AI3872" s="468">
        <v>46244</v>
      </c>
      <c r="AJ3872" s="5" t="s">
        <v>3579</v>
      </c>
      <c r="AK3872" s="5" t="s">
        <v>3620</v>
      </c>
    </row>
    <row r="3873" spans="35:37">
      <c r="AI3873" s="468">
        <v>46245</v>
      </c>
      <c r="AJ3873" s="5" t="s">
        <v>3624</v>
      </c>
      <c r="AK3873" s="5" t="s">
        <v>3622</v>
      </c>
    </row>
    <row r="3874" spans="35:37">
      <c r="AI3874" s="468">
        <v>46246</v>
      </c>
      <c r="AJ3874" s="5" t="s">
        <v>3626</v>
      </c>
      <c r="AK3874" s="5" t="s">
        <v>3623</v>
      </c>
    </row>
    <row r="3875" spans="35:37">
      <c r="AI3875" s="468">
        <v>46247</v>
      </c>
      <c r="AJ3875" s="5" t="s">
        <v>3628</v>
      </c>
      <c r="AK3875" s="5" t="s">
        <v>3627</v>
      </c>
    </row>
    <row r="3876" spans="35:37">
      <c r="AI3876" s="468">
        <v>46248</v>
      </c>
      <c r="AJ3876" s="5" t="s">
        <v>3617</v>
      </c>
      <c r="AK3876" s="5" t="s">
        <v>3618</v>
      </c>
    </row>
    <row r="3877" spans="35:37">
      <c r="AI3877" s="468">
        <v>46249</v>
      </c>
      <c r="AJ3877" s="5" t="s">
        <v>3619</v>
      </c>
      <c r="AK3877" s="5" t="s">
        <v>3620</v>
      </c>
    </row>
    <row r="3878" spans="35:37">
      <c r="AI3878" s="468">
        <v>46250</v>
      </c>
      <c r="AJ3878" s="5" t="s">
        <v>3621</v>
      </c>
      <c r="AK3878" s="5" t="s">
        <v>3622</v>
      </c>
    </row>
    <row r="3879" spans="35:37">
      <c r="AI3879" s="468">
        <v>46251</v>
      </c>
      <c r="AJ3879" s="5" t="s">
        <v>3579</v>
      </c>
      <c r="AK3879" s="5" t="s">
        <v>3623</v>
      </c>
    </row>
    <row r="3880" spans="35:37">
      <c r="AI3880" s="468">
        <v>46252</v>
      </c>
      <c r="AJ3880" s="5" t="s">
        <v>3624</v>
      </c>
      <c r="AK3880" s="5" t="s">
        <v>3625</v>
      </c>
    </row>
    <row r="3881" spans="35:37">
      <c r="AI3881" s="468">
        <v>46253</v>
      </c>
      <c r="AJ3881" s="5" t="s">
        <v>3626</v>
      </c>
      <c r="AK3881" s="5" t="s">
        <v>3627</v>
      </c>
    </row>
    <row r="3882" spans="35:37">
      <c r="AI3882" s="468">
        <v>46254</v>
      </c>
      <c r="AJ3882" s="5" t="s">
        <v>3628</v>
      </c>
      <c r="AK3882" s="5" t="s">
        <v>3618</v>
      </c>
    </row>
    <row r="3883" spans="35:37">
      <c r="AI3883" s="468">
        <v>46255</v>
      </c>
      <c r="AJ3883" s="5" t="s">
        <v>3617</v>
      </c>
      <c r="AK3883" s="5" t="s">
        <v>3620</v>
      </c>
    </row>
    <row r="3884" spans="35:37">
      <c r="AI3884" s="468">
        <v>46256</v>
      </c>
      <c r="AJ3884" s="5" t="s">
        <v>3619</v>
      </c>
      <c r="AK3884" s="5" t="s">
        <v>3622</v>
      </c>
    </row>
    <row r="3885" spans="35:37">
      <c r="AI3885" s="468">
        <v>46257</v>
      </c>
      <c r="AJ3885" s="5" t="s">
        <v>3621</v>
      </c>
      <c r="AK3885" s="5" t="s">
        <v>3623</v>
      </c>
    </row>
    <row r="3886" spans="35:37">
      <c r="AI3886" s="468">
        <v>46258</v>
      </c>
      <c r="AJ3886" s="5" t="s">
        <v>3579</v>
      </c>
      <c r="AK3886" s="5" t="s">
        <v>3625</v>
      </c>
    </row>
    <row r="3887" spans="35:37">
      <c r="AI3887" s="468">
        <v>46259</v>
      </c>
      <c r="AJ3887" s="5" t="s">
        <v>3624</v>
      </c>
      <c r="AK3887" s="5" t="s">
        <v>3627</v>
      </c>
    </row>
    <row r="3888" spans="35:37">
      <c r="AI3888" s="468">
        <v>46260</v>
      </c>
      <c r="AJ3888" s="5" t="s">
        <v>3626</v>
      </c>
      <c r="AK3888" s="5" t="s">
        <v>3618</v>
      </c>
    </row>
    <row r="3889" spans="35:37">
      <c r="AI3889" s="468">
        <v>46261</v>
      </c>
      <c r="AJ3889" s="5" t="s">
        <v>3628</v>
      </c>
      <c r="AK3889" s="5" t="s">
        <v>3620</v>
      </c>
    </row>
    <row r="3890" spans="35:37">
      <c r="AI3890" s="468">
        <v>46262</v>
      </c>
      <c r="AJ3890" s="5" t="s">
        <v>3617</v>
      </c>
      <c r="AK3890" s="5" t="s">
        <v>3622</v>
      </c>
    </row>
    <row r="3891" spans="35:37">
      <c r="AI3891" s="468">
        <v>46263</v>
      </c>
      <c r="AJ3891" s="5" t="s">
        <v>3619</v>
      </c>
      <c r="AK3891" s="5" t="s">
        <v>3623</v>
      </c>
    </row>
    <row r="3892" spans="35:37">
      <c r="AI3892" s="468">
        <v>46264</v>
      </c>
      <c r="AJ3892" s="5" t="s">
        <v>3621</v>
      </c>
      <c r="AK3892" s="5" t="s">
        <v>3625</v>
      </c>
    </row>
    <row r="3893" spans="35:37">
      <c r="AI3893" s="468">
        <v>46265</v>
      </c>
      <c r="AJ3893" s="5" t="s">
        <v>3579</v>
      </c>
      <c r="AK3893" s="5" t="s">
        <v>3627</v>
      </c>
    </row>
    <row r="3894" spans="35:37">
      <c r="AI3894" s="468">
        <v>46266</v>
      </c>
      <c r="AJ3894" s="5" t="s">
        <v>3624</v>
      </c>
      <c r="AK3894" s="5" t="s">
        <v>3618</v>
      </c>
    </row>
    <row r="3895" spans="35:37">
      <c r="AI3895" s="468">
        <v>46267</v>
      </c>
      <c r="AJ3895" s="5" t="s">
        <v>3626</v>
      </c>
      <c r="AK3895" s="5" t="s">
        <v>3620</v>
      </c>
    </row>
    <row r="3896" spans="35:37">
      <c r="AI3896" s="468">
        <v>46268</v>
      </c>
      <c r="AJ3896" s="5" t="s">
        <v>3628</v>
      </c>
      <c r="AK3896" s="5" t="s">
        <v>3622</v>
      </c>
    </row>
    <row r="3897" spans="35:37">
      <c r="AI3897" s="468">
        <v>46269</v>
      </c>
      <c r="AJ3897" s="5" t="s">
        <v>3617</v>
      </c>
      <c r="AK3897" s="5" t="s">
        <v>3623</v>
      </c>
    </row>
    <row r="3898" spans="35:37">
      <c r="AI3898" s="468">
        <v>46270</v>
      </c>
      <c r="AJ3898" s="5" t="s">
        <v>3619</v>
      </c>
      <c r="AK3898" s="5" t="s">
        <v>3625</v>
      </c>
    </row>
    <row r="3899" spans="35:37">
      <c r="AI3899" s="468">
        <v>46271</v>
      </c>
      <c r="AJ3899" s="5" t="s">
        <v>3621</v>
      </c>
      <c r="AK3899" s="5" t="s">
        <v>3627</v>
      </c>
    </row>
    <row r="3900" spans="35:37">
      <c r="AI3900" s="468">
        <v>46272</v>
      </c>
      <c r="AJ3900" s="5" t="s">
        <v>3579</v>
      </c>
      <c r="AK3900" s="5" t="s">
        <v>3618</v>
      </c>
    </row>
    <row r="3901" spans="35:37">
      <c r="AI3901" s="468">
        <v>46273</v>
      </c>
      <c r="AJ3901" s="5" t="s">
        <v>3624</v>
      </c>
      <c r="AK3901" s="5" t="s">
        <v>3620</v>
      </c>
    </row>
    <row r="3902" spans="35:37">
      <c r="AI3902" s="468">
        <v>46274</v>
      </c>
      <c r="AJ3902" s="5" t="s">
        <v>3626</v>
      </c>
      <c r="AK3902" s="5" t="s">
        <v>3622</v>
      </c>
    </row>
    <row r="3903" spans="35:37">
      <c r="AI3903" s="468">
        <v>46275</v>
      </c>
      <c r="AJ3903" s="5" t="s">
        <v>3628</v>
      </c>
      <c r="AK3903" s="5" t="s">
        <v>3623</v>
      </c>
    </row>
    <row r="3904" spans="35:37">
      <c r="AI3904" s="468">
        <v>46276</v>
      </c>
      <c r="AJ3904" s="5" t="s">
        <v>3617</v>
      </c>
      <c r="AK3904" s="5" t="s">
        <v>3618</v>
      </c>
    </row>
    <row r="3905" spans="35:37">
      <c r="AI3905" s="468">
        <v>46277</v>
      </c>
      <c r="AJ3905" s="5" t="s">
        <v>3619</v>
      </c>
      <c r="AK3905" s="5" t="s">
        <v>3620</v>
      </c>
    </row>
    <row r="3906" spans="35:37">
      <c r="AI3906" s="468">
        <v>46278</v>
      </c>
      <c r="AJ3906" s="5" t="s">
        <v>3621</v>
      </c>
      <c r="AK3906" s="5" t="s">
        <v>3622</v>
      </c>
    </row>
    <row r="3907" spans="35:37">
      <c r="AI3907" s="468">
        <v>46279</v>
      </c>
      <c r="AJ3907" s="5" t="s">
        <v>3579</v>
      </c>
      <c r="AK3907" s="5" t="s">
        <v>3623</v>
      </c>
    </row>
    <row r="3908" spans="35:37">
      <c r="AI3908" s="468">
        <v>46280</v>
      </c>
      <c r="AJ3908" s="5" t="s">
        <v>3624</v>
      </c>
      <c r="AK3908" s="5" t="s">
        <v>3625</v>
      </c>
    </row>
    <row r="3909" spans="35:37">
      <c r="AI3909" s="468">
        <v>46281</v>
      </c>
      <c r="AJ3909" s="5" t="s">
        <v>3626</v>
      </c>
      <c r="AK3909" s="5" t="s">
        <v>3627</v>
      </c>
    </row>
    <row r="3910" spans="35:37">
      <c r="AI3910" s="468">
        <v>46282</v>
      </c>
      <c r="AJ3910" s="5" t="s">
        <v>3628</v>
      </c>
      <c r="AK3910" s="5" t="s">
        <v>3618</v>
      </c>
    </row>
    <row r="3911" spans="35:37">
      <c r="AI3911" s="468">
        <v>46283</v>
      </c>
      <c r="AJ3911" s="5" t="s">
        <v>3617</v>
      </c>
      <c r="AK3911" s="5" t="s">
        <v>3620</v>
      </c>
    </row>
    <row r="3912" spans="35:37">
      <c r="AI3912" s="468">
        <v>46284</v>
      </c>
      <c r="AJ3912" s="5" t="s">
        <v>3619</v>
      </c>
      <c r="AK3912" s="5" t="s">
        <v>3622</v>
      </c>
    </row>
    <row r="3913" spans="35:37">
      <c r="AI3913" s="468">
        <v>46285</v>
      </c>
      <c r="AJ3913" s="5" t="s">
        <v>3621</v>
      </c>
      <c r="AK3913" s="5" t="s">
        <v>3623</v>
      </c>
    </row>
    <row r="3914" spans="35:37">
      <c r="AI3914" s="468">
        <v>46286</v>
      </c>
      <c r="AJ3914" s="5" t="s">
        <v>3579</v>
      </c>
      <c r="AK3914" s="5" t="s">
        <v>3625</v>
      </c>
    </row>
    <row r="3915" spans="35:37">
      <c r="AI3915" s="468">
        <v>46287</v>
      </c>
      <c r="AJ3915" s="5" t="s">
        <v>3624</v>
      </c>
      <c r="AK3915" s="5" t="s">
        <v>3627</v>
      </c>
    </row>
    <row r="3916" spans="35:37">
      <c r="AI3916" s="468">
        <v>46288</v>
      </c>
      <c r="AJ3916" s="5" t="s">
        <v>3626</v>
      </c>
      <c r="AK3916" s="5" t="s">
        <v>3618</v>
      </c>
    </row>
    <row r="3917" spans="35:37">
      <c r="AI3917" s="468">
        <v>46289</v>
      </c>
      <c r="AJ3917" s="5" t="s">
        <v>3628</v>
      </c>
      <c r="AK3917" s="5" t="s">
        <v>3620</v>
      </c>
    </row>
    <row r="3918" spans="35:37">
      <c r="AI3918" s="468">
        <v>46290</v>
      </c>
      <c r="AJ3918" s="5" t="s">
        <v>3617</v>
      </c>
      <c r="AK3918" s="5" t="s">
        <v>3622</v>
      </c>
    </row>
    <row r="3919" spans="35:37">
      <c r="AI3919" s="468">
        <v>46291</v>
      </c>
      <c r="AJ3919" s="5" t="s">
        <v>3619</v>
      </c>
      <c r="AK3919" s="5" t="s">
        <v>3623</v>
      </c>
    </row>
    <row r="3920" spans="35:37">
      <c r="AI3920" s="468">
        <v>46292</v>
      </c>
      <c r="AJ3920" s="5" t="s">
        <v>3621</v>
      </c>
      <c r="AK3920" s="5" t="s">
        <v>3625</v>
      </c>
    </row>
    <row r="3921" spans="35:37">
      <c r="AI3921" s="468">
        <v>46293</v>
      </c>
      <c r="AJ3921" s="5" t="s">
        <v>3579</v>
      </c>
      <c r="AK3921" s="5" t="s">
        <v>3627</v>
      </c>
    </row>
    <row r="3922" spans="35:37">
      <c r="AI3922" s="468">
        <v>46294</v>
      </c>
      <c r="AJ3922" s="5" t="s">
        <v>3624</v>
      </c>
      <c r="AK3922" s="5" t="s">
        <v>3618</v>
      </c>
    </row>
    <row r="3923" spans="35:37">
      <c r="AI3923" s="468">
        <v>46295</v>
      </c>
      <c r="AJ3923" s="5" t="s">
        <v>3626</v>
      </c>
      <c r="AK3923" s="5" t="s">
        <v>3620</v>
      </c>
    </row>
    <row r="3924" spans="35:37">
      <c r="AI3924" s="468">
        <v>46296</v>
      </c>
      <c r="AJ3924" s="5" t="s">
        <v>3628</v>
      </c>
      <c r="AK3924" s="5" t="s">
        <v>3622</v>
      </c>
    </row>
    <row r="3925" spans="35:37">
      <c r="AI3925" s="468">
        <v>46297</v>
      </c>
      <c r="AJ3925" s="5" t="s">
        <v>3617</v>
      </c>
      <c r="AK3925" s="5" t="s">
        <v>3623</v>
      </c>
    </row>
    <row r="3926" spans="35:37">
      <c r="AI3926" s="468">
        <v>46298</v>
      </c>
      <c r="AJ3926" s="5" t="s">
        <v>3619</v>
      </c>
      <c r="AK3926" s="5" t="s">
        <v>3625</v>
      </c>
    </row>
    <row r="3927" spans="35:37">
      <c r="AI3927" s="468">
        <v>46299</v>
      </c>
      <c r="AJ3927" s="5" t="s">
        <v>3621</v>
      </c>
      <c r="AK3927" s="5" t="s">
        <v>3627</v>
      </c>
    </row>
    <row r="3928" spans="35:37">
      <c r="AI3928" s="468">
        <v>46300</v>
      </c>
      <c r="AJ3928" s="5" t="s">
        <v>3579</v>
      </c>
      <c r="AK3928" s="5" t="s">
        <v>3618</v>
      </c>
    </row>
    <row r="3929" spans="35:37">
      <c r="AI3929" s="468">
        <v>46301</v>
      </c>
      <c r="AJ3929" s="5" t="s">
        <v>3624</v>
      </c>
      <c r="AK3929" s="5" t="s">
        <v>3620</v>
      </c>
    </row>
    <row r="3930" spans="35:37">
      <c r="AI3930" s="468">
        <v>46302</v>
      </c>
      <c r="AJ3930" s="5" t="s">
        <v>3626</v>
      </c>
      <c r="AK3930" s="5" t="s">
        <v>3622</v>
      </c>
    </row>
    <row r="3931" spans="35:37">
      <c r="AI3931" s="468">
        <v>46303</v>
      </c>
      <c r="AJ3931" s="5" t="s">
        <v>3628</v>
      </c>
      <c r="AK3931" s="5" t="s">
        <v>3623</v>
      </c>
    </row>
    <row r="3932" spans="35:37">
      <c r="AI3932" s="468">
        <v>46304</v>
      </c>
      <c r="AJ3932" s="5" t="s">
        <v>3617</v>
      </c>
      <c r="AK3932" s="5" t="s">
        <v>3625</v>
      </c>
    </row>
    <row r="3933" spans="35:37">
      <c r="AI3933" s="468">
        <v>46305</v>
      </c>
      <c r="AJ3933" s="5" t="s">
        <v>3619</v>
      </c>
      <c r="AK3933" s="5" t="s">
        <v>3627</v>
      </c>
    </row>
    <row r="3934" spans="35:37">
      <c r="AI3934" s="468">
        <v>46306</v>
      </c>
      <c r="AJ3934" s="5" t="s">
        <v>3621</v>
      </c>
      <c r="AK3934" s="5" t="s">
        <v>3620</v>
      </c>
    </row>
    <row r="3935" spans="35:37">
      <c r="AI3935" s="468">
        <v>46307</v>
      </c>
      <c r="AJ3935" s="5" t="s">
        <v>3579</v>
      </c>
      <c r="AK3935" s="5" t="s">
        <v>3622</v>
      </c>
    </row>
    <row r="3936" spans="35:37">
      <c r="AI3936" s="468">
        <v>46308</v>
      </c>
      <c r="AJ3936" s="5" t="s">
        <v>3624</v>
      </c>
      <c r="AK3936" s="5" t="s">
        <v>3623</v>
      </c>
    </row>
    <row r="3937" spans="35:37">
      <c r="AI3937" s="468">
        <v>46309</v>
      </c>
      <c r="AJ3937" s="5" t="s">
        <v>3626</v>
      </c>
      <c r="AK3937" s="5" t="s">
        <v>3625</v>
      </c>
    </row>
    <row r="3938" spans="35:37">
      <c r="AI3938" s="468">
        <v>46310</v>
      </c>
      <c r="AJ3938" s="5" t="s">
        <v>3628</v>
      </c>
      <c r="AK3938" s="5" t="s">
        <v>3627</v>
      </c>
    </row>
    <row r="3939" spans="35:37">
      <c r="AI3939" s="468">
        <v>46311</v>
      </c>
      <c r="AJ3939" s="5" t="s">
        <v>3617</v>
      </c>
      <c r="AK3939" s="5" t="s">
        <v>3618</v>
      </c>
    </row>
    <row r="3940" spans="35:37">
      <c r="AI3940" s="468">
        <v>46312</v>
      </c>
      <c r="AJ3940" s="5" t="s">
        <v>3619</v>
      </c>
      <c r="AK3940" s="5" t="s">
        <v>3620</v>
      </c>
    </row>
    <row r="3941" spans="35:37">
      <c r="AI3941" s="468">
        <v>46313</v>
      </c>
      <c r="AJ3941" s="5" t="s">
        <v>3621</v>
      </c>
      <c r="AK3941" s="5" t="s">
        <v>3622</v>
      </c>
    </row>
    <row r="3942" spans="35:37">
      <c r="AI3942" s="468">
        <v>46314</v>
      </c>
      <c r="AJ3942" s="5" t="s">
        <v>3579</v>
      </c>
      <c r="AK3942" s="5" t="s">
        <v>3623</v>
      </c>
    </row>
    <row r="3943" spans="35:37">
      <c r="AI3943" s="468">
        <v>46315</v>
      </c>
      <c r="AJ3943" s="5" t="s">
        <v>3624</v>
      </c>
      <c r="AK3943" s="5" t="s">
        <v>3625</v>
      </c>
    </row>
    <row r="3944" spans="35:37">
      <c r="AI3944" s="468">
        <v>46316</v>
      </c>
      <c r="AJ3944" s="5" t="s">
        <v>3626</v>
      </c>
      <c r="AK3944" s="5" t="s">
        <v>3627</v>
      </c>
    </row>
    <row r="3945" spans="35:37">
      <c r="AI3945" s="468">
        <v>46317</v>
      </c>
      <c r="AJ3945" s="5" t="s">
        <v>3628</v>
      </c>
      <c r="AK3945" s="5" t="s">
        <v>3618</v>
      </c>
    </row>
    <row r="3946" spans="35:37">
      <c r="AI3946" s="468">
        <v>46318</v>
      </c>
      <c r="AJ3946" s="5" t="s">
        <v>3617</v>
      </c>
      <c r="AK3946" s="5" t="s">
        <v>3620</v>
      </c>
    </row>
    <row r="3947" spans="35:37">
      <c r="AI3947" s="468">
        <v>46319</v>
      </c>
      <c r="AJ3947" s="5" t="s">
        <v>3619</v>
      </c>
      <c r="AK3947" s="5" t="s">
        <v>3622</v>
      </c>
    </row>
    <row r="3948" spans="35:37">
      <c r="AI3948" s="468">
        <v>46320</v>
      </c>
      <c r="AJ3948" s="5" t="s">
        <v>3621</v>
      </c>
      <c r="AK3948" s="5" t="s">
        <v>3623</v>
      </c>
    </row>
    <row r="3949" spans="35:37">
      <c r="AI3949" s="468">
        <v>46321</v>
      </c>
      <c r="AJ3949" s="5" t="s">
        <v>3579</v>
      </c>
      <c r="AK3949" s="5" t="s">
        <v>3625</v>
      </c>
    </row>
    <row r="3950" spans="35:37">
      <c r="AI3950" s="468">
        <v>46322</v>
      </c>
      <c r="AJ3950" s="5" t="s">
        <v>3624</v>
      </c>
      <c r="AK3950" s="5" t="s">
        <v>3627</v>
      </c>
    </row>
    <row r="3951" spans="35:37">
      <c r="AI3951" s="468">
        <v>46323</v>
      </c>
      <c r="AJ3951" s="5" t="s">
        <v>3626</v>
      </c>
      <c r="AK3951" s="5" t="s">
        <v>3618</v>
      </c>
    </row>
    <row r="3952" spans="35:37">
      <c r="AI3952" s="468">
        <v>46324</v>
      </c>
      <c r="AJ3952" s="5" t="s">
        <v>3628</v>
      </c>
      <c r="AK3952" s="5" t="s">
        <v>3620</v>
      </c>
    </row>
    <row r="3953" spans="35:37">
      <c r="AI3953" s="468">
        <v>46325</v>
      </c>
      <c r="AJ3953" s="5" t="s">
        <v>3617</v>
      </c>
      <c r="AK3953" s="5" t="s">
        <v>3622</v>
      </c>
    </row>
    <row r="3954" spans="35:37">
      <c r="AI3954" s="468">
        <v>46326</v>
      </c>
      <c r="AJ3954" s="5" t="s">
        <v>3619</v>
      </c>
      <c r="AK3954" s="5" t="s">
        <v>3623</v>
      </c>
    </row>
    <row r="3955" spans="35:37">
      <c r="AI3955" s="468">
        <v>46327</v>
      </c>
      <c r="AJ3955" s="5" t="s">
        <v>3621</v>
      </c>
      <c r="AK3955" s="5" t="s">
        <v>3625</v>
      </c>
    </row>
    <row r="3956" spans="35:37">
      <c r="AI3956" s="468">
        <v>46328</v>
      </c>
      <c r="AJ3956" s="5" t="s">
        <v>3579</v>
      </c>
      <c r="AK3956" s="5" t="s">
        <v>3627</v>
      </c>
    </row>
    <row r="3957" spans="35:37">
      <c r="AI3957" s="468">
        <v>46329</v>
      </c>
      <c r="AJ3957" s="5" t="s">
        <v>3624</v>
      </c>
      <c r="AK3957" s="5" t="s">
        <v>3618</v>
      </c>
    </row>
    <row r="3958" spans="35:37">
      <c r="AI3958" s="468">
        <v>46330</v>
      </c>
      <c r="AJ3958" s="5" t="s">
        <v>3626</v>
      </c>
      <c r="AK3958" s="5" t="s">
        <v>3620</v>
      </c>
    </row>
    <row r="3959" spans="35:37">
      <c r="AI3959" s="468">
        <v>46331</v>
      </c>
      <c r="AJ3959" s="5" t="s">
        <v>3628</v>
      </c>
      <c r="AK3959" s="5" t="s">
        <v>3622</v>
      </c>
    </row>
    <row r="3960" spans="35:37">
      <c r="AI3960" s="468">
        <v>46332</v>
      </c>
      <c r="AJ3960" s="5" t="s">
        <v>3617</v>
      </c>
      <c r="AK3960" s="5" t="s">
        <v>3623</v>
      </c>
    </row>
    <row r="3961" spans="35:37">
      <c r="AI3961" s="468">
        <v>46333</v>
      </c>
      <c r="AJ3961" s="5" t="s">
        <v>3619</v>
      </c>
      <c r="AK3961" s="5" t="s">
        <v>3625</v>
      </c>
    </row>
    <row r="3962" spans="35:37">
      <c r="AI3962" s="468">
        <v>46334</v>
      </c>
      <c r="AJ3962" s="5" t="s">
        <v>3621</v>
      </c>
      <c r="AK3962" s="5" t="s">
        <v>3627</v>
      </c>
    </row>
    <row r="3963" spans="35:37">
      <c r="AI3963" s="468">
        <v>46335</v>
      </c>
      <c r="AJ3963" s="5" t="s">
        <v>3579</v>
      </c>
      <c r="AK3963" s="5" t="s">
        <v>3622</v>
      </c>
    </row>
    <row r="3964" spans="35:37">
      <c r="AI3964" s="468">
        <v>46336</v>
      </c>
      <c r="AJ3964" s="5" t="s">
        <v>3624</v>
      </c>
      <c r="AK3964" s="5" t="s">
        <v>3623</v>
      </c>
    </row>
    <row r="3965" spans="35:37">
      <c r="AI3965" s="468">
        <v>46337</v>
      </c>
      <c r="AJ3965" s="5" t="s">
        <v>3626</v>
      </c>
      <c r="AK3965" s="5" t="s">
        <v>3625</v>
      </c>
    </row>
    <row r="3966" spans="35:37">
      <c r="AI3966" s="468">
        <v>46338</v>
      </c>
      <c r="AJ3966" s="5" t="s">
        <v>3628</v>
      </c>
      <c r="AK3966" s="5" t="s">
        <v>3627</v>
      </c>
    </row>
    <row r="3967" spans="35:37">
      <c r="AI3967" s="468">
        <v>46339</v>
      </c>
      <c r="AJ3967" s="5" t="s">
        <v>3617</v>
      </c>
      <c r="AK3967" s="5" t="s">
        <v>3618</v>
      </c>
    </row>
    <row r="3968" spans="35:37">
      <c r="AI3968" s="468">
        <v>46340</v>
      </c>
      <c r="AJ3968" s="5" t="s">
        <v>3619</v>
      </c>
      <c r="AK3968" s="5" t="s">
        <v>3620</v>
      </c>
    </row>
    <row r="3969" spans="35:37">
      <c r="AI3969" s="468">
        <v>46341</v>
      </c>
      <c r="AJ3969" s="5" t="s">
        <v>3621</v>
      </c>
      <c r="AK3969" s="5" t="s">
        <v>3622</v>
      </c>
    </row>
    <row r="3970" spans="35:37">
      <c r="AI3970" s="468">
        <v>46342</v>
      </c>
      <c r="AJ3970" s="5" t="s">
        <v>3579</v>
      </c>
      <c r="AK3970" s="5" t="s">
        <v>3623</v>
      </c>
    </row>
    <row r="3971" spans="35:37">
      <c r="AI3971" s="468">
        <v>46343</v>
      </c>
      <c r="AJ3971" s="5" t="s">
        <v>3624</v>
      </c>
      <c r="AK3971" s="5" t="s">
        <v>3625</v>
      </c>
    </row>
    <row r="3972" spans="35:37">
      <c r="AI3972" s="468">
        <v>46344</v>
      </c>
      <c r="AJ3972" s="5" t="s">
        <v>3626</v>
      </c>
      <c r="AK3972" s="5" t="s">
        <v>3627</v>
      </c>
    </row>
    <row r="3973" spans="35:37">
      <c r="AI3973" s="468">
        <v>46345</v>
      </c>
      <c r="AJ3973" s="5" t="s">
        <v>3628</v>
      </c>
      <c r="AK3973" s="5" t="s">
        <v>3618</v>
      </c>
    </row>
    <row r="3974" spans="35:37">
      <c r="AI3974" s="468">
        <v>46346</v>
      </c>
      <c r="AJ3974" s="5" t="s">
        <v>3617</v>
      </c>
      <c r="AK3974" s="5" t="s">
        <v>3620</v>
      </c>
    </row>
    <row r="3975" spans="35:37">
      <c r="AI3975" s="468">
        <v>46347</v>
      </c>
      <c r="AJ3975" s="5" t="s">
        <v>3619</v>
      </c>
      <c r="AK3975" s="5" t="s">
        <v>3622</v>
      </c>
    </row>
    <row r="3976" spans="35:37">
      <c r="AI3976" s="468">
        <v>46348</v>
      </c>
      <c r="AJ3976" s="5" t="s">
        <v>3621</v>
      </c>
      <c r="AK3976" s="5" t="s">
        <v>3623</v>
      </c>
    </row>
    <row r="3977" spans="35:37">
      <c r="AI3977" s="468">
        <v>46349</v>
      </c>
      <c r="AJ3977" s="5" t="s">
        <v>3579</v>
      </c>
      <c r="AK3977" s="5" t="s">
        <v>3625</v>
      </c>
    </row>
    <row r="3978" spans="35:37">
      <c r="AI3978" s="468">
        <v>46350</v>
      </c>
      <c r="AJ3978" s="5" t="s">
        <v>3624</v>
      </c>
      <c r="AK3978" s="5" t="s">
        <v>3627</v>
      </c>
    </row>
    <row r="3979" spans="35:37">
      <c r="AI3979" s="468">
        <v>46351</v>
      </c>
      <c r="AJ3979" s="5" t="s">
        <v>3626</v>
      </c>
      <c r="AK3979" s="5" t="s">
        <v>3618</v>
      </c>
    </row>
    <row r="3980" spans="35:37">
      <c r="AI3980" s="468">
        <v>46352</v>
      </c>
      <c r="AJ3980" s="5" t="s">
        <v>3628</v>
      </c>
      <c r="AK3980" s="5" t="s">
        <v>3620</v>
      </c>
    </row>
    <row r="3981" spans="35:37">
      <c r="AI3981" s="468">
        <v>46353</v>
      </c>
      <c r="AJ3981" s="5" t="s">
        <v>3617</v>
      </c>
      <c r="AK3981" s="5" t="s">
        <v>3622</v>
      </c>
    </row>
    <row r="3982" spans="35:37">
      <c r="AI3982" s="468">
        <v>46354</v>
      </c>
      <c r="AJ3982" s="5" t="s">
        <v>3619</v>
      </c>
      <c r="AK3982" s="5" t="s">
        <v>3623</v>
      </c>
    </row>
    <row r="3983" spans="35:37">
      <c r="AI3983" s="468">
        <v>46355</v>
      </c>
      <c r="AJ3983" s="5" t="s">
        <v>3621</v>
      </c>
      <c r="AK3983" s="5" t="s">
        <v>3625</v>
      </c>
    </row>
    <row r="3984" spans="35:37">
      <c r="AI3984" s="468">
        <v>46356</v>
      </c>
      <c r="AJ3984" s="5" t="s">
        <v>3579</v>
      </c>
      <c r="AK3984" s="5" t="s">
        <v>3627</v>
      </c>
    </row>
    <row r="3985" spans="35:37">
      <c r="AI3985" s="468">
        <v>46357</v>
      </c>
      <c r="AJ3985" s="5" t="s">
        <v>3624</v>
      </c>
      <c r="AK3985" s="5" t="s">
        <v>3618</v>
      </c>
    </row>
    <row r="3986" spans="35:37">
      <c r="AI3986" s="468">
        <v>46358</v>
      </c>
      <c r="AJ3986" s="5" t="s">
        <v>3626</v>
      </c>
      <c r="AK3986" s="5" t="s">
        <v>3620</v>
      </c>
    </row>
    <row r="3987" spans="35:37">
      <c r="AI3987" s="468">
        <v>46359</v>
      </c>
      <c r="AJ3987" s="5" t="s">
        <v>3628</v>
      </c>
      <c r="AK3987" s="5" t="s">
        <v>3622</v>
      </c>
    </row>
    <row r="3988" spans="35:37">
      <c r="AI3988" s="468">
        <v>46360</v>
      </c>
      <c r="AJ3988" s="5" t="s">
        <v>3617</v>
      </c>
      <c r="AK3988" s="5" t="s">
        <v>3623</v>
      </c>
    </row>
    <row r="3989" spans="35:37">
      <c r="AI3989" s="468">
        <v>46361</v>
      </c>
      <c r="AJ3989" s="5" t="s">
        <v>3619</v>
      </c>
      <c r="AK3989" s="5" t="s">
        <v>3625</v>
      </c>
    </row>
    <row r="3990" spans="35:37">
      <c r="AI3990" s="468">
        <v>46362</v>
      </c>
      <c r="AJ3990" s="5" t="s">
        <v>3621</v>
      </c>
      <c r="AK3990" s="5" t="s">
        <v>3627</v>
      </c>
    </row>
    <row r="3991" spans="35:37">
      <c r="AI3991" s="468">
        <v>46363</v>
      </c>
      <c r="AJ3991" s="5" t="s">
        <v>3579</v>
      </c>
      <c r="AK3991" s="5" t="s">
        <v>3618</v>
      </c>
    </row>
    <row r="3992" spans="35:37">
      <c r="AI3992" s="468">
        <v>46364</v>
      </c>
      <c r="AJ3992" s="5" t="s">
        <v>3624</v>
      </c>
      <c r="AK3992" s="5" t="s">
        <v>3620</v>
      </c>
    </row>
    <row r="3993" spans="35:37">
      <c r="AI3993" s="468">
        <v>46365</v>
      </c>
      <c r="AJ3993" s="5" t="s">
        <v>3626</v>
      </c>
      <c r="AK3993" s="5" t="s">
        <v>3623</v>
      </c>
    </row>
    <row r="3994" spans="35:37">
      <c r="AI3994" s="468">
        <v>46366</v>
      </c>
      <c r="AJ3994" s="5" t="s">
        <v>3628</v>
      </c>
      <c r="AK3994" s="5" t="s">
        <v>3625</v>
      </c>
    </row>
    <row r="3995" spans="35:37">
      <c r="AI3995" s="468">
        <v>46367</v>
      </c>
      <c r="AJ3995" s="5" t="s">
        <v>3617</v>
      </c>
      <c r="AK3995" s="5" t="s">
        <v>3627</v>
      </c>
    </row>
    <row r="3996" spans="35:37">
      <c r="AI3996" s="468">
        <v>46368</v>
      </c>
      <c r="AJ3996" s="5" t="s">
        <v>3619</v>
      </c>
      <c r="AK3996" s="5" t="s">
        <v>3618</v>
      </c>
    </row>
    <row r="3997" spans="35:37">
      <c r="AI3997" s="468">
        <v>46369</v>
      </c>
      <c r="AJ3997" s="5" t="s">
        <v>3621</v>
      </c>
      <c r="AK3997" s="5" t="s">
        <v>3620</v>
      </c>
    </row>
    <row r="3998" spans="35:37">
      <c r="AI3998" s="468">
        <v>46370</v>
      </c>
      <c r="AJ3998" s="5" t="s">
        <v>3579</v>
      </c>
      <c r="AK3998" s="5" t="s">
        <v>3622</v>
      </c>
    </row>
    <row r="3999" spans="35:37">
      <c r="AI3999" s="468">
        <v>46371</v>
      </c>
      <c r="AJ3999" s="5" t="s">
        <v>3624</v>
      </c>
      <c r="AK3999" s="5" t="s">
        <v>3623</v>
      </c>
    </row>
    <row r="4000" spans="35:37">
      <c r="AI4000" s="468">
        <v>46372</v>
      </c>
      <c r="AJ4000" s="5" t="s">
        <v>3626</v>
      </c>
      <c r="AK4000" s="5" t="s">
        <v>3625</v>
      </c>
    </row>
    <row r="4001" spans="35:37">
      <c r="AI4001" s="468">
        <v>46373</v>
      </c>
      <c r="AJ4001" s="5" t="s">
        <v>3628</v>
      </c>
      <c r="AK4001" s="5" t="s">
        <v>3627</v>
      </c>
    </row>
    <row r="4002" spans="35:37">
      <c r="AI4002" s="468">
        <v>46374</v>
      </c>
      <c r="AJ4002" s="5" t="s">
        <v>3617</v>
      </c>
      <c r="AK4002" s="5" t="s">
        <v>3618</v>
      </c>
    </row>
    <row r="4003" spans="35:37">
      <c r="AI4003" s="468">
        <v>46375</v>
      </c>
      <c r="AJ4003" s="5" t="s">
        <v>3619</v>
      </c>
      <c r="AK4003" s="5" t="s">
        <v>3620</v>
      </c>
    </row>
    <row r="4004" spans="35:37">
      <c r="AI4004" s="468">
        <v>46376</v>
      </c>
      <c r="AJ4004" s="5" t="s">
        <v>3621</v>
      </c>
      <c r="AK4004" s="5" t="s">
        <v>3622</v>
      </c>
    </row>
    <row r="4005" spans="35:37">
      <c r="AI4005" s="468">
        <v>46377</v>
      </c>
      <c r="AJ4005" s="5" t="s">
        <v>3579</v>
      </c>
      <c r="AK4005" s="5" t="s">
        <v>3623</v>
      </c>
    </row>
    <row r="4006" spans="35:37">
      <c r="AI4006" s="468">
        <v>46378</v>
      </c>
      <c r="AJ4006" s="5" t="s">
        <v>3624</v>
      </c>
      <c r="AK4006" s="5" t="s">
        <v>3625</v>
      </c>
    </row>
    <row r="4007" spans="35:37">
      <c r="AI4007" s="468">
        <v>46379</v>
      </c>
      <c r="AJ4007" s="5" t="s">
        <v>3626</v>
      </c>
      <c r="AK4007" s="5" t="s">
        <v>3627</v>
      </c>
    </row>
    <row r="4008" spans="35:37">
      <c r="AI4008" s="468">
        <v>46380</v>
      </c>
      <c r="AJ4008" s="5" t="s">
        <v>3628</v>
      </c>
      <c r="AK4008" s="5" t="s">
        <v>3618</v>
      </c>
    </row>
    <row r="4009" spans="35:37">
      <c r="AI4009" s="468">
        <v>46381</v>
      </c>
      <c r="AJ4009" s="5" t="s">
        <v>3617</v>
      </c>
      <c r="AK4009" s="5" t="s">
        <v>3620</v>
      </c>
    </row>
    <row r="4010" spans="35:37">
      <c r="AI4010" s="468">
        <v>46382</v>
      </c>
      <c r="AJ4010" s="5" t="s">
        <v>3619</v>
      </c>
      <c r="AK4010" s="5" t="s">
        <v>3622</v>
      </c>
    </row>
    <row r="4011" spans="35:37">
      <c r="AI4011" s="468">
        <v>46383</v>
      </c>
      <c r="AJ4011" s="5" t="s">
        <v>3621</v>
      </c>
      <c r="AK4011" s="5" t="s">
        <v>3623</v>
      </c>
    </row>
    <row r="4012" spans="35:37">
      <c r="AI4012" s="468">
        <v>46384</v>
      </c>
      <c r="AJ4012" s="5" t="s">
        <v>3579</v>
      </c>
      <c r="AK4012" s="5" t="s">
        <v>3625</v>
      </c>
    </row>
    <row r="4013" spans="35:37">
      <c r="AI4013" s="468">
        <v>46385</v>
      </c>
      <c r="AJ4013" s="5" t="s">
        <v>3624</v>
      </c>
      <c r="AK4013" s="5" t="s">
        <v>3627</v>
      </c>
    </row>
    <row r="4014" spans="35:37">
      <c r="AI4014" s="468">
        <v>46386</v>
      </c>
      <c r="AJ4014" s="5" t="s">
        <v>3626</v>
      </c>
      <c r="AK4014" s="5" t="s">
        <v>3618</v>
      </c>
    </row>
    <row r="4015" spans="35:37">
      <c r="AI4015" s="468">
        <v>46387</v>
      </c>
      <c r="AJ4015" s="5" t="s">
        <v>3628</v>
      </c>
      <c r="AK4015" s="5" t="s">
        <v>3620</v>
      </c>
    </row>
    <row r="4016" spans="35:37">
      <c r="AI4016" s="468">
        <v>46388</v>
      </c>
      <c r="AJ4016" s="5" t="s">
        <v>3617</v>
      </c>
      <c r="AK4016" s="5" t="s">
        <v>3622</v>
      </c>
    </row>
    <row r="4017" spans="35:37">
      <c r="AI4017" s="468">
        <v>46389</v>
      </c>
      <c r="AJ4017" s="5" t="s">
        <v>3619</v>
      </c>
      <c r="AK4017" s="5" t="s">
        <v>3623</v>
      </c>
    </row>
    <row r="4018" spans="35:37">
      <c r="AI4018" s="468">
        <v>46390</v>
      </c>
      <c r="AJ4018" s="5" t="s">
        <v>3621</v>
      </c>
      <c r="AK4018" s="5" t="s">
        <v>3625</v>
      </c>
    </row>
    <row r="4019" spans="35:37">
      <c r="AI4019" s="468">
        <v>46391</v>
      </c>
      <c r="AJ4019" s="5" t="s">
        <v>3579</v>
      </c>
      <c r="AK4019" s="5" t="s">
        <v>3627</v>
      </c>
    </row>
    <row r="4020" spans="35:37">
      <c r="AI4020" s="468">
        <v>46392</v>
      </c>
      <c r="AJ4020" s="5" t="s">
        <v>3624</v>
      </c>
      <c r="AK4020" s="5" t="s">
        <v>3618</v>
      </c>
    </row>
    <row r="4021" spans="35:37">
      <c r="AI4021" s="468">
        <v>46393</v>
      </c>
      <c r="AJ4021" s="5" t="s">
        <v>3626</v>
      </c>
      <c r="AK4021" s="5" t="s">
        <v>3620</v>
      </c>
    </row>
    <row r="4022" spans="35:37">
      <c r="AI4022" s="468">
        <v>46394</v>
      </c>
      <c r="AJ4022" s="5" t="s">
        <v>3628</v>
      </c>
      <c r="AK4022" s="5" t="s">
        <v>3622</v>
      </c>
    </row>
    <row r="4023" spans="35:37">
      <c r="AI4023" s="468">
        <v>46395</v>
      </c>
      <c r="AJ4023" s="5" t="s">
        <v>3617</v>
      </c>
      <c r="AK4023" s="5" t="s">
        <v>3625</v>
      </c>
    </row>
    <row r="4024" spans="35:37">
      <c r="AI4024" s="468">
        <v>46396</v>
      </c>
      <c r="AJ4024" s="5" t="s">
        <v>3619</v>
      </c>
      <c r="AK4024" s="5" t="s">
        <v>3627</v>
      </c>
    </row>
    <row r="4025" spans="35:37">
      <c r="AI4025" s="468">
        <v>46397</v>
      </c>
      <c r="AJ4025" s="5" t="s">
        <v>3621</v>
      </c>
      <c r="AK4025" s="5" t="s">
        <v>3618</v>
      </c>
    </row>
    <row r="4026" spans="35:37">
      <c r="AI4026" s="468">
        <v>46398</v>
      </c>
      <c r="AJ4026" s="5" t="s">
        <v>3579</v>
      </c>
      <c r="AK4026" s="5" t="s">
        <v>3620</v>
      </c>
    </row>
    <row r="4027" spans="35:37">
      <c r="AI4027" s="468">
        <v>46399</v>
      </c>
      <c r="AJ4027" s="5" t="s">
        <v>3624</v>
      </c>
      <c r="AK4027" s="5" t="s">
        <v>3622</v>
      </c>
    </row>
    <row r="4028" spans="35:37">
      <c r="AI4028" s="468">
        <v>46400</v>
      </c>
      <c r="AJ4028" s="5" t="s">
        <v>3626</v>
      </c>
      <c r="AK4028" s="5" t="s">
        <v>3623</v>
      </c>
    </row>
    <row r="4029" spans="35:37">
      <c r="AI4029" s="468">
        <v>46401</v>
      </c>
      <c r="AJ4029" s="5" t="s">
        <v>3628</v>
      </c>
      <c r="AK4029" s="5" t="s">
        <v>3625</v>
      </c>
    </row>
    <row r="4030" spans="35:37">
      <c r="AI4030" s="468">
        <v>46402</v>
      </c>
      <c r="AJ4030" s="5" t="s">
        <v>3617</v>
      </c>
      <c r="AK4030" s="5" t="s">
        <v>3627</v>
      </c>
    </row>
    <row r="4031" spans="35:37">
      <c r="AI4031" s="468">
        <v>46403</v>
      </c>
      <c r="AJ4031" s="5" t="s">
        <v>3619</v>
      </c>
      <c r="AK4031" s="5" t="s">
        <v>3618</v>
      </c>
    </row>
    <row r="4032" spans="35:37">
      <c r="AI4032" s="468">
        <v>46404</v>
      </c>
      <c r="AJ4032" s="5" t="s">
        <v>3621</v>
      </c>
      <c r="AK4032" s="5" t="s">
        <v>3620</v>
      </c>
    </row>
    <row r="4033" spans="35:37">
      <c r="AI4033" s="468">
        <v>46405</v>
      </c>
      <c r="AJ4033" s="5" t="s">
        <v>3579</v>
      </c>
      <c r="AK4033" s="5" t="s">
        <v>3622</v>
      </c>
    </row>
    <row r="4034" spans="35:37">
      <c r="AI4034" s="468">
        <v>46406</v>
      </c>
      <c r="AJ4034" s="5" t="s">
        <v>3624</v>
      </c>
      <c r="AK4034" s="5" t="s">
        <v>3623</v>
      </c>
    </row>
    <row r="4035" spans="35:37">
      <c r="AI4035" s="468">
        <v>46407</v>
      </c>
      <c r="AJ4035" s="5" t="s">
        <v>3626</v>
      </c>
      <c r="AK4035" s="5" t="s">
        <v>3625</v>
      </c>
    </row>
    <row r="4036" spans="35:37">
      <c r="AI4036" s="468">
        <v>46408</v>
      </c>
      <c r="AJ4036" s="5" t="s">
        <v>3628</v>
      </c>
      <c r="AK4036" s="5" t="s">
        <v>3627</v>
      </c>
    </row>
    <row r="4037" spans="35:37">
      <c r="AI4037" s="468">
        <v>46409</v>
      </c>
      <c r="AJ4037" s="5" t="s">
        <v>3617</v>
      </c>
      <c r="AK4037" s="5" t="s">
        <v>3618</v>
      </c>
    </row>
    <row r="4038" spans="35:37">
      <c r="AI4038" s="468">
        <v>46410</v>
      </c>
      <c r="AJ4038" s="5" t="s">
        <v>3619</v>
      </c>
      <c r="AK4038" s="5" t="s">
        <v>3620</v>
      </c>
    </row>
    <row r="4039" spans="35:37">
      <c r="AI4039" s="468">
        <v>46411</v>
      </c>
      <c r="AJ4039" s="5" t="s">
        <v>3621</v>
      </c>
      <c r="AK4039" s="5" t="s">
        <v>3622</v>
      </c>
    </row>
    <row r="4040" spans="35:37">
      <c r="AI4040" s="468">
        <v>46412</v>
      </c>
      <c r="AJ4040" s="5" t="s">
        <v>3579</v>
      </c>
      <c r="AK4040" s="5" t="s">
        <v>3623</v>
      </c>
    </row>
    <row r="4041" spans="35:37">
      <c r="AI4041" s="468">
        <v>46413</v>
      </c>
      <c r="AJ4041" s="5" t="s">
        <v>3624</v>
      </c>
      <c r="AK4041" s="5" t="s">
        <v>3625</v>
      </c>
    </row>
    <row r="4042" spans="35:37">
      <c r="AI4042" s="468">
        <v>46414</v>
      </c>
      <c r="AJ4042" s="5" t="s">
        <v>3626</v>
      </c>
      <c r="AK4042" s="5" t="s">
        <v>3627</v>
      </c>
    </row>
    <row r="4043" spans="35:37">
      <c r="AI4043" s="468">
        <v>46415</v>
      </c>
      <c r="AJ4043" s="5" t="s">
        <v>3628</v>
      </c>
      <c r="AK4043" s="5" t="s">
        <v>3618</v>
      </c>
    </row>
    <row r="4044" spans="35:37">
      <c r="AI4044" s="468">
        <v>46416</v>
      </c>
      <c r="AJ4044" s="5" t="s">
        <v>3617</v>
      </c>
      <c r="AK4044" s="5" t="s">
        <v>3620</v>
      </c>
    </row>
    <row r="4045" spans="35:37">
      <c r="AI4045" s="468">
        <v>46417</v>
      </c>
      <c r="AJ4045" s="5" t="s">
        <v>3619</v>
      </c>
      <c r="AK4045" s="5" t="s">
        <v>3622</v>
      </c>
    </row>
    <row r="4046" spans="35:37">
      <c r="AI4046" s="468">
        <v>46418</v>
      </c>
      <c r="AJ4046" s="5" t="s">
        <v>3621</v>
      </c>
      <c r="AK4046" s="5" t="s">
        <v>3623</v>
      </c>
    </row>
    <row r="4047" spans="35:37">
      <c r="AI4047" s="468">
        <v>46419</v>
      </c>
      <c r="AJ4047" s="5" t="s">
        <v>3579</v>
      </c>
      <c r="AK4047" s="5" t="s">
        <v>3625</v>
      </c>
    </row>
    <row r="4048" spans="35:37">
      <c r="AI4048" s="468">
        <v>46420</v>
      </c>
      <c r="AJ4048" s="5" t="s">
        <v>3624</v>
      </c>
      <c r="AK4048" s="5" t="s">
        <v>3627</v>
      </c>
    </row>
    <row r="4049" spans="35:37">
      <c r="AI4049" s="468">
        <v>46421</v>
      </c>
      <c r="AJ4049" s="5" t="s">
        <v>3626</v>
      </c>
      <c r="AK4049" s="5" t="s">
        <v>3618</v>
      </c>
    </row>
    <row r="4050" spans="35:37">
      <c r="AI4050" s="468">
        <v>46422</v>
      </c>
      <c r="AJ4050" s="5" t="s">
        <v>3628</v>
      </c>
      <c r="AK4050" s="5" t="s">
        <v>3620</v>
      </c>
    </row>
    <row r="4051" spans="35:37">
      <c r="AI4051" s="468">
        <v>46423</v>
      </c>
      <c r="AJ4051" s="5" t="s">
        <v>3617</v>
      </c>
      <c r="AK4051" s="5" t="s">
        <v>3622</v>
      </c>
    </row>
    <row r="4052" spans="35:37">
      <c r="AI4052" s="468">
        <v>46424</v>
      </c>
      <c r="AJ4052" s="5" t="s">
        <v>3619</v>
      </c>
      <c r="AK4052" s="5" t="s">
        <v>3623</v>
      </c>
    </row>
    <row r="4053" spans="35:37">
      <c r="AI4053" s="468">
        <v>46425</v>
      </c>
      <c r="AJ4053" s="5" t="s">
        <v>3621</v>
      </c>
      <c r="AK4053" s="5" t="s">
        <v>3627</v>
      </c>
    </row>
    <row r="4054" spans="35:37">
      <c r="AI4054" s="468">
        <v>46426</v>
      </c>
      <c r="AJ4054" s="5" t="s">
        <v>3579</v>
      </c>
      <c r="AK4054" s="5" t="s">
        <v>3618</v>
      </c>
    </row>
    <row r="4055" spans="35:37">
      <c r="AI4055" s="468">
        <v>46427</v>
      </c>
      <c r="AJ4055" s="5" t="s">
        <v>3624</v>
      </c>
      <c r="AK4055" s="5" t="s">
        <v>3620</v>
      </c>
    </row>
    <row r="4056" spans="35:37">
      <c r="AI4056" s="468">
        <v>46428</v>
      </c>
      <c r="AJ4056" s="5" t="s">
        <v>3626</v>
      </c>
      <c r="AK4056" s="5" t="s">
        <v>3622</v>
      </c>
    </row>
    <row r="4057" spans="35:37">
      <c r="AI4057" s="468">
        <v>46429</v>
      </c>
      <c r="AJ4057" s="5" t="s">
        <v>3628</v>
      </c>
      <c r="AK4057" s="5" t="s">
        <v>3623</v>
      </c>
    </row>
    <row r="4058" spans="35:37">
      <c r="AI4058" s="468">
        <v>46430</v>
      </c>
      <c r="AJ4058" s="5" t="s">
        <v>3617</v>
      </c>
      <c r="AK4058" s="5" t="s">
        <v>3625</v>
      </c>
    </row>
    <row r="4059" spans="35:37">
      <c r="AI4059" s="468">
        <v>46431</v>
      </c>
      <c r="AJ4059" s="5" t="s">
        <v>3619</v>
      </c>
      <c r="AK4059" s="5" t="s">
        <v>3627</v>
      </c>
    </row>
    <row r="4060" spans="35:37">
      <c r="AI4060" s="468">
        <v>46432</v>
      </c>
      <c r="AJ4060" s="5" t="s">
        <v>3621</v>
      </c>
      <c r="AK4060" s="5" t="s">
        <v>3618</v>
      </c>
    </row>
    <row r="4061" spans="35:37">
      <c r="AI4061" s="468">
        <v>46433</v>
      </c>
      <c r="AJ4061" s="5" t="s">
        <v>3579</v>
      </c>
      <c r="AK4061" s="5" t="s">
        <v>3620</v>
      </c>
    </row>
    <row r="4062" spans="35:37">
      <c r="AI4062" s="468">
        <v>46434</v>
      </c>
      <c r="AJ4062" s="5" t="s">
        <v>3624</v>
      </c>
      <c r="AK4062" s="5" t="s">
        <v>3622</v>
      </c>
    </row>
    <row r="4063" spans="35:37">
      <c r="AI4063" s="468">
        <v>46435</v>
      </c>
      <c r="AJ4063" s="5" t="s">
        <v>3626</v>
      </c>
      <c r="AK4063" s="5" t="s">
        <v>3623</v>
      </c>
    </row>
    <row r="4064" spans="35:37">
      <c r="AI4064" s="468">
        <v>46436</v>
      </c>
      <c r="AJ4064" s="5" t="s">
        <v>3628</v>
      </c>
      <c r="AK4064" s="5" t="s">
        <v>3625</v>
      </c>
    </row>
    <row r="4065" spans="35:37">
      <c r="AI4065" s="468">
        <v>46437</v>
      </c>
      <c r="AJ4065" s="5" t="s">
        <v>3617</v>
      </c>
      <c r="AK4065" s="5" t="s">
        <v>3627</v>
      </c>
    </row>
    <row r="4066" spans="35:37">
      <c r="AI4066" s="468">
        <v>46438</v>
      </c>
      <c r="AJ4066" s="5" t="s">
        <v>3619</v>
      </c>
      <c r="AK4066" s="5" t="s">
        <v>3618</v>
      </c>
    </row>
    <row r="4067" spans="35:37">
      <c r="AI4067" s="468">
        <v>46439</v>
      </c>
      <c r="AJ4067" s="5" t="s">
        <v>3621</v>
      </c>
      <c r="AK4067" s="5" t="s">
        <v>3620</v>
      </c>
    </row>
    <row r="4068" spans="35:37">
      <c r="AI4068" s="468">
        <v>46440</v>
      </c>
      <c r="AJ4068" s="5" t="s">
        <v>3579</v>
      </c>
      <c r="AK4068" s="5" t="s">
        <v>3622</v>
      </c>
    </row>
    <row r="4069" spans="35:37">
      <c r="AI4069" s="468">
        <v>46441</v>
      </c>
      <c r="AJ4069" s="5" t="s">
        <v>3624</v>
      </c>
      <c r="AK4069" s="5" t="s">
        <v>3623</v>
      </c>
    </row>
    <row r="4070" spans="35:37">
      <c r="AI4070" s="468">
        <v>46442</v>
      </c>
      <c r="AJ4070" s="5" t="s">
        <v>3626</v>
      </c>
      <c r="AK4070" s="5" t="s">
        <v>3625</v>
      </c>
    </row>
    <row r="4071" spans="35:37">
      <c r="AI4071" s="468">
        <v>46443</v>
      </c>
      <c r="AJ4071" s="5" t="s">
        <v>3628</v>
      </c>
      <c r="AK4071" s="5" t="s">
        <v>3627</v>
      </c>
    </row>
    <row r="4072" spans="35:37">
      <c r="AI4072" s="468">
        <v>46444</v>
      </c>
      <c r="AJ4072" s="5" t="s">
        <v>3617</v>
      </c>
      <c r="AK4072" s="5" t="s">
        <v>3618</v>
      </c>
    </row>
    <row r="4073" spans="35:37">
      <c r="AI4073" s="468">
        <v>46445</v>
      </c>
      <c r="AJ4073" s="5" t="s">
        <v>3619</v>
      </c>
      <c r="AK4073" s="5" t="s">
        <v>3620</v>
      </c>
    </row>
    <row r="4074" spans="35:37">
      <c r="AI4074" s="468">
        <v>46446</v>
      </c>
      <c r="AJ4074" s="5" t="s">
        <v>3621</v>
      </c>
      <c r="AK4074" s="5" t="s">
        <v>3622</v>
      </c>
    </row>
    <row r="4075" spans="35:37">
      <c r="AI4075" s="468">
        <v>46447</v>
      </c>
      <c r="AJ4075" s="5" t="s">
        <v>3579</v>
      </c>
      <c r="AK4075" s="5" t="s">
        <v>3623</v>
      </c>
    </row>
    <row r="4076" spans="35:37">
      <c r="AI4076" s="468">
        <v>46448</v>
      </c>
      <c r="AJ4076" s="5" t="s">
        <v>3624</v>
      </c>
      <c r="AK4076" s="5" t="s">
        <v>3625</v>
      </c>
    </row>
    <row r="4077" spans="35:37">
      <c r="AI4077" s="468">
        <v>46449</v>
      </c>
      <c r="AJ4077" s="5" t="s">
        <v>3626</v>
      </c>
      <c r="AK4077" s="5" t="s">
        <v>3627</v>
      </c>
    </row>
    <row r="4078" spans="35:37">
      <c r="AI4078" s="468">
        <v>46450</v>
      </c>
      <c r="AJ4078" s="5" t="s">
        <v>3628</v>
      </c>
      <c r="AK4078" s="5" t="s">
        <v>3618</v>
      </c>
    </row>
    <row r="4079" spans="35:37">
      <c r="AI4079" s="468">
        <v>46451</v>
      </c>
      <c r="AJ4079" s="5" t="s">
        <v>3617</v>
      </c>
      <c r="AK4079" s="5" t="s">
        <v>3620</v>
      </c>
    </row>
    <row r="4080" spans="35:37">
      <c r="AI4080" s="468">
        <v>46452</v>
      </c>
      <c r="AJ4080" s="5" t="s">
        <v>3619</v>
      </c>
      <c r="AK4080" s="5" t="s">
        <v>3622</v>
      </c>
    </row>
    <row r="4081" spans="35:37">
      <c r="AI4081" s="468">
        <v>46453</v>
      </c>
      <c r="AJ4081" s="5" t="s">
        <v>3621</v>
      </c>
      <c r="AK4081" s="5" t="s">
        <v>3623</v>
      </c>
    </row>
    <row r="4082" spans="35:37">
      <c r="AI4082" s="468">
        <v>46454</v>
      </c>
      <c r="AJ4082" s="5" t="s">
        <v>3579</v>
      </c>
      <c r="AK4082" s="5" t="s">
        <v>3618</v>
      </c>
    </row>
    <row r="4083" spans="35:37">
      <c r="AI4083" s="468">
        <v>46455</v>
      </c>
      <c r="AJ4083" s="5" t="s">
        <v>3624</v>
      </c>
      <c r="AK4083" s="5" t="s">
        <v>3620</v>
      </c>
    </row>
    <row r="4084" spans="35:37">
      <c r="AI4084" s="468">
        <v>46456</v>
      </c>
      <c r="AJ4084" s="5" t="s">
        <v>3626</v>
      </c>
      <c r="AK4084" s="5" t="s">
        <v>3622</v>
      </c>
    </row>
    <row r="4085" spans="35:37">
      <c r="AI4085" s="468">
        <v>46457</v>
      </c>
      <c r="AJ4085" s="5" t="s">
        <v>3628</v>
      </c>
      <c r="AK4085" s="5" t="s">
        <v>3623</v>
      </c>
    </row>
    <row r="4086" spans="35:37">
      <c r="AI4086" s="468">
        <v>46458</v>
      </c>
      <c r="AJ4086" s="5" t="s">
        <v>3617</v>
      </c>
      <c r="AK4086" s="5" t="s">
        <v>3625</v>
      </c>
    </row>
    <row r="4087" spans="35:37">
      <c r="AI4087" s="468">
        <v>46459</v>
      </c>
      <c r="AJ4087" s="5" t="s">
        <v>3619</v>
      </c>
      <c r="AK4087" s="5" t="s">
        <v>3627</v>
      </c>
    </row>
    <row r="4088" spans="35:37">
      <c r="AI4088" s="468">
        <v>46460</v>
      </c>
      <c r="AJ4088" s="5" t="s">
        <v>3621</v>
      </c>
      <c r="AK4088" s="5" t="s">
        <v>3618</v>
      </c>
    </row>
    <row r="4089" spans="35:37">
      <c r="AI4089" s="468">
        <v>46461</v>
      </c>
      <c r="AJ4089" s="5" t="s">
        <v>3579</v>
      </c>
      <c r="AK4089" s="5" t="s">
        <v>3620</v>
      </c>
    </row>
    <row r="4090" spans="35:37">
      <c r="AI4090" s="468">
        <v>46462</v>
      </c>
      <c r="AJ4090" s="5" t="s">
        <v>3624</v>
      </c>
      <c r="AK4090" s="5" t="s">
        <v>3622</v>
      </c>
    </row>
    <row r="4091" spans="35:37">
      <c r="AI4091" s="468">
        <v>46463</v>
      </c>
      <c r="AJ4091" s="5" t="s">
        <v>3626</v>
      </c>
      <c r="AK4091" s="5" t="s">
        <v>3623</v>
      </c>
    </row>
    <row r="4092" spans="35:37">
      <c r="AI4092" s="468">
        <v>46464</v>
      </c>
      <c r="AJ4092" s="5" t="s">
        <v>3628</v>
      </c>
      <c r="AK4092" s="5" t="s">
        <v>3625</v>
      </c>
    </row>
    <row r="4093" spans="35:37">
      <c r="AI4093" s="468">
        <v>46465</v>
      </c>
      <c r="AJ4093" s="5" t="s">
        <v>3617</v>
      </c>
      <c r="AK4093" s="5" t="s">
        <v>3627</v>
      </c>
    </row>
    <row r="4094" spans="35:37">
      <c r="AI4094" s="468">
        <v>46466</v>
      </c>
      <c r="AJ4094" s="5" t="s">
        <v>3619</v>
      </c>
      <c r="AK4094" s="5" t="s">
        <v>3618</v>
      </c>
    </row>
    <row r="4095" spans="35:37">
      <c r="AI4095" s="468">
        <v>46467</v>
      </c>
      <c r="AJ4095" s="5" t="s">
        <v>3621</v>
      </c>
      <c r="AK4095" s="5" t="s">
        <v>3620</v>
      </c>
    </row>
    <row r="4096" spans="35:37">
      <c r="AI4096" s="468">
        <v>46468</v>
      </c>
      <c r="AJ4096" s="5" t="s">
        <v>3579</v>
      </c>
      <c r="AK4096" s="5" t="s">
        <v>3622</v>
      </c>
    </row>
    <row r="4097" spans="35:37">
      <c r="AI4097" s="468">
        <v>46469</v>
      </c>
      <c r="AJ4097" s="5" t="s">
        <v>3624</v>
      </c>
      <c r="AK4097" s="5" t="s">
        <v>3623</v>
      </c>
    </row>
    <row r="4098" spans="35:37">
      <c r="AI4098" s="468">
        <v>46470</v>
      </c>
      <c r="AJ4098" s="5" t="s">
        <v>3626</v>
      </c>
      <c r="AK4098" s="5" t="s">
        <v>3625</v>
      </c>
    </row>
    <row r="4099" spans="35:37">
      <c r="AI4099" s="468">
        <v>46471</v>
      </c>
      <c r="AJ4099" s="5" t="s">
        <v>3628</v>
      </c>
      <c r="AK4099" s="5" t="s">
        <v>3627</v>
      </c>
    </row>
    <row r="4100" spans="35:37">
      <c r="AI4100" s="468">
        <v>46472</v>
      </c>
      <c r="AJ4100" s="5" t="s">
        <v>3617</v>
      </c>
      <c r="AK4100" s="5" t="s">
        <v>3618</v>
      </c>
    </row>
    <row r="4101" spans="35:37">
      <c r="AI4101" s="468">
        <v>46473</v>
      </c>
      <c r="AJ4101" s="5" t="s">
        <v>3619</v>
      </c>
      <c r="AK4101" s="5" t="s">
        <v>3620</v>
      </c>
    </row>
    <row r="4102" spans="35:37">
      <c r="AI4102" s="468">
        <v>46474</v>
      </c>
      <c r="AJ4102" s="5" t="s">
        <v>3621</v>
      </c>
      <c r="AK4102" s="5" t="s">
        <v>3622</v>
      </c>
    </row>
    <row r="4103" spans="35:37">
      <c r="AI4103" s="468">
        <v>46475</v>
      </c>
      <c r="AJ4103" s="5" t="s">
        <v>3579</v>
      </c>
      <c r="AK4103" s="5" t="s">
        <v>3623</v>
      </c>
    </row>
    <row r="4104" spans="35:37">
      <c r="AI4104" s="468">
        <v>46476</v>
      </c>
      <c r="AJ4104" s="5" t="s">
        <v>3624</v>
      </c>
      <c r="AK4104" s="5" t="s">
        <v>3625</v>
      </c>
    </row>
    <row r="4105" spans="35:37">
      <c r="AI4105" s="468">
        <v>46477</v>
      </c>
      <c r="AJ4105" s="5" t="s">
        <v>3626</v>
      </c>
      <c r="AK4105" s="5" t="s">
        <v>3627</v>
      </c>
    </row>
    <row r="4106" spans="35:37">
      <c r="AI4106" s="468">
        <v>46478</v>
      </c>
      <c r="AJ4106" s="5" t="s">
        <v>3628</v>
      </c>
      <c r="AK4106" s="5" t="s">
        <v>3618</v>
      </c>
    </row>
    <row r="4107" spans="35:37">
      <c r="AI4107" s="468">
        <v>46479</v>
      </c>
      <c r="AJ4107" s="5" t="s">
        <v>3617</v>
      </c>
      <c r="AK4107" s="5" t="s">
        <v>3620</v>
      </c>
    </row>
    <row r="4108" spans="35:37">
      <c r="AI4108" s="468">
        <v>46480</v>
      </c>
      <c r="AJ4108" s="5" t="s">
        <v>3619</v>
      </c>
      <c r="AK4108" s="5" t="s">
        <v>3622</v>
      </c>
    </row>
    <row r="4109" spans="35:37">
      <c r="AI4109" s="468">
        <v>46481</v>
      </c>
      <c r="AJ4109" s="5" t="s">
        <v>3621</v>
      </c>
      <c r="AK4109" s="5" t="s">
        <v>3623</v>
      </c>
    </row>
    <row r="4110" spans="35:37">
      <c r="AI4110" s="468">
        <v>46482</v>
      </c>
      <c r="AJ4110" s="5" t="s">
        <v>3579</v>
      </c>
      <c r="AK4110" s="5" t="s">
        <v>3625</v>
      </c>
    </row>
    <row r="4111" spans="35:37">
      <c r="AI4111" s="468">
        <v>46483</v>
      </c>
      <c r="AJ4111" s="5" t="s">
        <v>3624</v>
      </c>
      <c r="AK4111" s="5" t="s">
        <v>3627</v>
      </c>
    </row>
    <row r="4112" spans="35:37">
      <c r="AI4112" s="468">
        <v>46484</v>
      </c>
      <c r="AJ4112" s="5" t="s">
        <v>3626</v>
      </c>
      <c r="AK4112" s="5" t="s">
        <v>3620</v>
      </c>
    </row>
    <row r="4113" spans="35:37">
      <c r="AI4113" s="468">
        <v>46485</v>
      </c>
      <c r="AJ4113" s="5" t="s">
        <v>3628</v>
      </c>
      <c r="AK4113" s="5" t="s">
        <v>3622</v>
      </c>
    </row>
    <row r="4114" spans="35:37">
      <c r="AI4114" s="468">
        <v>46486</v>
      </c>
      <c r="AJ4114" s="5" t="s">
        <v>3617</v>
      </c>
      <c r="AK4114" s="5" t="s">
        <v>3623</v>
      </c>
    </row>
    <row r="4115" spans="35:37">
      <c r="AI4115" s="468">
        <v>46487</v>
      </c>
      <c r="AJ4115" s="5" t="s">
        <v>3619</v>
      </c>
      <c r="AK4115" s="5" t="s">
        <v>3625</v>
      </c>
    </row>
    <row r="4116" spans="35:37">
      <c r="AI4116" s="468">
        <v>46488</v>
      </c>
      <c r="AJ4116" s="5" t="s">
        <v>3621</v>
      </c>
      <c r="AK4116" s="5" t="s">
        <v>3627</v>
      </c>
    </row>
    <row r="4117" spans="35:37">
      <c r="AI4117" s="468">
        <v>46489</v>
      </c>
      <c r="AJ4117" s="5" t="s">
        <v>3579</v>
      </c>
      <c r="AK4117" s="5" t="s">
        <v>3618</v>
      </c>
    </row>
    <row r="4118" spans="35:37">
      <c r="AI4118" s="468">
        <v>46490</v>
      </c>
      <c r="AJ4118" s="5" t="s">
        <v>3624</v>
      </c>
      <c r="AK4118" s="5" t="s">
        <v>3620</v>
      </c>
    </row>
    <row r="4119" spans="35:37">
      <c r="AI4119" s="468">
        <v>46491</v>
      </c>
      <c r="AJ4119" s="5" t="s">
        <v>3626</v>
      </c>
      <c r="AK4119" s="5" t="s">
        <v>3622</v>
      </c>
    </row>
    <row r="4120" spans="35:37">
      <c r="AI4120" s="468">
        <v>46492</v>
      </c>
      <c r="AJ4120" s="5" t="s">
        <v>3628</v>
      </c>
      <c r="AK4120" s="5" t="s">
        <v>3623</v>
      </c>
    </row>
    <row r="4121" spans="35:37">
      <c r="AI4121" s="468">
        <v>46493</v>
      </c>
      <c r="AJ4121" s="5" t="s">
        <v>3617</v>
      </c>
      <c r="AK4121" s="5" t="s">
        <v>3625</v>
      </c>
    </row>
    <row r="4122" spans="35:37">
      <c r="AI4122" s="468">
        <v>46494</v>
      </c>
      <c r="AJ4122" s="5" t="s">
        <v>3619</v>
      </c>
      <c r="AK4122" s="5" t="s">
        <v>3627</v>
      </c>
    </row>
    <row r="4123" spans="35:37">
      <c r="AI4123" s="468">
        <v>46495</v>
      </c>
      <c r="AJ4123" s="5" t="s">
        <v>3621</v>
      </c>
      <c r="AK4123" s="5" t="s">
        <v>3618</v>
      </c>
    </row>
    <row r="4124" spans="35:37">
      <c r="AI4124" s="468">
        <v>46496</v>
      </c>
      <c r="AJ4124" s="5" t="s">
        <v>3579</v>
      </c>
      <c r="AK4124" s="5" t="s">
        <v>3620</v>
      </c>
    </row>
    <row r="4125" spans="35:37">
      <c r="AI4125" s="468">
        <v>46497</v>
      </c>
      <c r="AJ4125" s="5" t="s">
        <v>3624</v>
      </c>
      <c r="AK4125" s="5" t="s">
        <v>3622</v>
      </c>
    </row>
    <row r="4126" spans="35:37">
      <c r="AI4126" s="468">
        <v>46498</v>
      </c>
      <c r="AJ4126" s="5" t="s">
        <v>3626</v>
      </c>
      <c r="AK4126" s="5" t="s">
        <v>3623</v>
      </c>
    </row>
    <row r="4127" spans="35:37">
      <c r="AI4127" s="468">
        <v>46499</v>
      </c>
      <c r="AJ4127" s="5" t="s">
        <v>3628</v>
      </c>
      <c r="AK4127" s="5" t="s">
        <v>3625</v>
      </c>
    </row>
    <row r="4128" spans="35:37">
      <c r="AI4128" s="468">
        <v>46500</v>
      </c>
      <c r="AJ4128" s="5" t="s">
        <v>3617</v>
      </c>
      <c r="AK4128" s="5" t="s">
        <v>3627</v>
      </c>
    </row>
    <row r="4129" spans="35:37">
      <c r="AI4129" s="468">
        <v>46501</v>
      </c>
      <c r="AJ4129" s="5" t="s">
        <v>3619</v>
      </c>
      <c r="AK4129" s="5" t="s">
        <v>3618</v>
      </c>
    </row>
    <row r="4130" spans="35:37">
      <c r="AI4130" s="468">
        <v>46502</v>
      </c>
      <c r="AJ4130" s="5" t="s">
        <v>3621</v>
      </c>
      <c r="AK4130" s="5" t="s">
        <v>3620</v>
      </c>
    </row>
    <row r="4131" spans="35:37">
      <c r="AI4131" s="468">
        <v>46503</v>
      </c>
      <c r="AJ4131" s="5" t="s">
        <v>3579</v>
      </c>
      <c r="AK4131" s="5" t="s">
        <v>3622</v>
      </c>
    </row>
    <row r="4132" spans="35:37">
      <c r="AI4132" s="468">
        <v>46504</v>
      </c>
      <c r="AJ4132" s="5" t="s">
        <v>3624</v>
      </c>
      <c r="AK4132" s="5" t="s">
        <v>3623</v>
      </c>
    </row>
    <row r="4133" spans="35:37">
      <c r="AI4133" s="468">
        <v>46505</v>
      </c>
      <c r="AJ4133" s="5" t="s">
        <v>3626</v>
      </c>
      <c r="AK4133" s="5" t="s">
        <v>3625</v>
      </c>
    </row>
    <row r="4134" spans="35:37">
      <c r="AI4134" s="468">
        <v>46506</v>
      </c>
      <c r="AJ4134" s="5" t="s">
        <v>3628</v>
      </c>
      <c r="AK4134" s="5" t="s">
        <v>3627</v>
      </c>
    </row>
    <row r="4135" spans="35:37">
      <c r="AI4135" s="468">
        <v>46507</v>
      </c>
      <c r="AJ4135" s="5" t="s">
        <v>3617</v>
      </c>
      <c r="AK4135" s="5" t="s">
        <v>3618</v>
      </c>
    </row>
    <row r="4136" spans="35:37">
      <c r="AI4136" s="468">
        <v>46508</v>
      </c>
      <c r="AJ4136" s="5" t="s">
        <v>3619</v>
      </c>
      <c r="AK4136" s="5" t="s">
        <v>3620</v>
      </c>
    </row>
    <row r="4137" spans="35:37">
      <c r="AI4137" s="468">
        <v>46509</v>
      </c>
      <c r="AJ4137" s="5" t="s">
        <v>3621</v>
      </c>
      <c r="AK4137" s="5" t="s">
        <v>3622</v>
      </c>
    </row>
    <row r="4138" spans="35:37">
      <c r="AI4138" s="468">
        <v>46510</v>
      </c>
      <c r="AJ4138" s="5" t="s">
        <v>3579</v>
      </c>
      <c r="AK4138" s="5" t="s">
        <v>3623</v>
      </c>
    </row>
    <row r="4139" spans="35:37">
      <c r="AI4139" s="468">
        <v>46511</v>
      </c>
      <c r="AJ4139" s="5" t="s">
        <v>3624</v>
      </c>
      <c r="AK4139" s="5" t="s">
        <v>3625</v>
      </c>
    </row>
    <row r="4140" spans="35:37">
      <c r="AI4140" s="468">
        <v>46512</v>
      </c>
      <c r="AJ4140" s="5" t="s">
        <v>3626</v>
      </c>
      <c r="AK4140" s="5" t="s">
        <v>3627</v>
      </c>
    </row>
    <row r="4141" spans="35:37">
      <c r="AI4141" s="468">
        <v>46513</v>
      </c>
      <c r="AJ4141" s="5" t="s">
        <v>3628</v>
      </c>
      <c r="AK4141" s="5" t="s">
        <v>3622</v>
      </c>
    </row>
    <row r="4142" spans="35:37">
      <c r="AI4142" s="468">
        <v>46514</v>
      </c>
      <c r="AJ4142" s="5" t="s">
        <v>3617</v>
      </c>
      <c r="AK4142" s="5" t="s">
        <v>3623</v>
      </c>
    </row>
    <row r="4143" spans="35:37">
      <c r="AI4143" s="468">
        <v>46515</v>
      </c>
      <c r="AJ4143" s="5" t="s">
        <v>3619</v>
      </c>
      <c r="AK4143" s="5" t="s">
        <v>3625</v>
      </c>
    </row>
    <row r="4144" spans="35:37">
      <c r="AI4144" s="468">
        <v>46516</v>
      </c>
      <c r="AJ4144" s="5" t="s">
        <v>3621</v>
      </c>
      <c r="AK4144" s="5" t="s">
        <v>3627</v>
      </c>
    </row>
    <row r="4145" spans="35:37">
      <c r="AI4145" s="468">
        <v>46517</v>
      </c>
      <c r="AJ4145" s="5" t="s">
        <v>3579</v>
      </c>
      <c r="AK4145" s="5" t="s">
        <v>3618</v>
      </c>
    </row>
    <row r="4146" spans="35:37">
      <c r="AI4146" s="468">
        <v>46518</v>
      </c>
      <c r="AJ4146" s="5" t="s">
        <v>3624</v>
      </c>
      <c r="AK4146" s="5" t="s">
        <v>3620</v>
      </c>
    </row>
    <row r="4147" spans="35:37">
      <c r="AI4147" s="468">
        <v>46519</v>
      </c>
      <c r="AJ4147" s="5" t="s">
        <v>3626</v>
      </c>
      <c r="AK4147" s="5" t="s">
        <v>3622</v>
      </c>
    </row>
    <row r="4148" spans="35:37">
      <c r="AI4148" s="468">
        <v>46520</v>
      </c>
      <c r="AJ4148" s="5" t="s">
        <v>3628</v>
      </c>
      <c r="AK4148" s="5" t="s">
        <v>3623</v>
      </c>
    </row>
    <row r="4149" spans="35:37">
      <c r="AI4149" s="468">
        <v>46521</v>
      </c>
      <c r="AJ4149" s="5" t="s">
        <v>3617</v>
      </c>
      <c r="AK4149" s="5" t="s">
        <v>3625</v>
      </c>
    </row>
    <row r="4150" spans="35:37">
      <c r="AI4150" s="468">
        <v>46522</v>
      </c>
      <c r="AJ4150" s="5" t="s">
        <v>3619</v>
      </c>
      <c r="AK4150" s="5" t="s">
        <v>3627</v>
      </c>
    </row>
    <row r="4151" spans="35:37">
      <c r="AI4151" s="468">
        <v>46523</v>
      </c>
      <c r="AJ4151" s="5" t="s">
        <v>3621</v>
      </c>
      <c r="AK4151" s="5" t="s">
        <v>3618</v>
      </c>
    </row>
    <row r="4152" spans="35:37">
      <c r="AI4152" s="468">
        <v>46524</v>
      </c>
      <c r="AJ4152" s="5" t="s">
        <v>3579</v>
      </c>
      <c r="AK4152" s="5" t="s">
        <v>3620</v>
      </c>
    </row>
    <row r="4153" spans="35:37">
      <c r="AI4153" s="468">
        <v>46525</v>
      </c>
      <c r="AJ4153" s="5" t="s">
        <v>3624</v>
      </c>
      <c r="AK4153" s="5" t="s">
        <v>3622</v>
      </c>
    </row>
    <row r="4154" spans="35:37">
      <c r="AI4154" s="468">
        <v>46526</v>
      </c>
      <c r="AJ4154" s="5" t="s">
        <v>3626</v>
      </c>
      <c r="AK4154" s="5" t="s">
        <v>3623</v>
      </c>
    </row>
    <row r="4155" spans="35:37">
      <c r="AI4155" s="468">
        <v>46527</v>
      </c>
      <c r="AJ4155" s="5" t="s">
        <v>3628</v>
      </c>
      <c r="AK4155" s="5" t="s">
        <v>3625</v>
      </c>
    </row>
    <row r="4156" spans="35:37">
      <c r="AI4156" s="468">
        <v>46528</v>
      </c>
      <c r="AJ4156" s="5" t="s">
        <v>3617</v>
      </c>
      <c r="AK4156" s="5" t="s">
        <v>3627</v>
      </c>
    </row>
    <row r="4157" spans="35:37">
      <c r="AI4157" s="468">
        <v>46529</v>
      </c>
      <c r="AJ4157" s="5" t="s">
        <v>3619</v>
      </c>
      <c r="AK4157" s="5" t="s">
        <v>3618</v>
      </c>
    </row>
    <row r="4158" spans="35:37">
      <c r="AI4158" s="468">
        <v>46530</v>
      </c>
      <c r="AJ4158" s="5" t="s">
        <v>3621</v>
      </c>
      <c r="AK4158" s="5" t="s">
        <v>3620</v>
      </c>
    </row>
    <row r="4159" spans="35:37">
      <c r="AI4159" s="468">
        <v>46531</v>
      </c>
      <c r="AJ4159" s="5" t="s">
        <v>3579</v>
      </c>
      <c r="AK4159" s="5" t="s">
        <v>3622</v>
      </c>
    </row>
    <row r="4160" spans="35:37">
      <c r="AI4160" s="468">
        <v>46532</v>
      </c>
      <c r="AJ4160" s="5" t="s">
        <v>3624</v>
      </c>
      <c r="AK4160" s="5" t="s">
        <v>3623</v>
      </c>
    </row>
    <row r="4161" spans="35:37">
      <c r="AI4161" s="468">
        <v>46533</v>
      </c>
      <c r="AJ4161" s="5" t="s">
        <v>3626</v>
      </c>
      <c r="AK4161" s="5" t="s">
        <v>3625</v>
      </c>
    </row>
    <row r="4162" spans="35:37">
      <c r="AI4162" s="468">
        <v>46534</v>
      </c>
      <c r="AJ4162" s="5" t="s">
        <v>3628</v>
      </c>
      <c r="AK4162" s="5" t="s">
        <v>3627</v>
      </c>
    </row>
    <row r="4163" spans="35:37">
      <c r="AI4163" s="468">
        <v>46535</v>
      </c>
      <c r="AJ4163" s="5" t="s">
        <v>3617</v>
      </c>
      <c r="AK4163" s="5" t="s">
        <v>3618</v>
      </c>
    </row>
    <row r="4164" spans="35:37">
      <c r="AI4164" s="468">
        <v>46536</v>
      </c>
      <c r="AJ4164" s="5" t="s">
        <v>3619</v>
      </c>
      <c r="AK4164" s="5" t="s">
        <v>3620</v>
      </c>
    </row>
    <row r="4165" spans="35:37">
      <c r="AI4165" s="468">
        <v>46537</v>
      </c>
      <c r="AJ4165" s="5" t="s">
        <v>3621</v>
      </c>
      <c r="AK4165" s="5" t="s">
        <v>3622</v>
      </c>
    </row>
    <row r="4166" spans="35:37">
      <c r="AI4166" s="468">
        <v>46538</v>
      </c>
      <c r="AJ4166" s="5" t="s">
        <v>3579</v>
      </c>
      <c r="AK4166" s="5" t="s">
        <v>3623</v>
      </c>
    </row>
    <row r="4167" spans="35:37">
      <c r="AI4167" s="468">
        <v>46539</v>
      </c>
      <c r="AJ4167" s="5" t="s">
        <v>3624</v>
      </c>
      <c r="AK4167" s="5" t="s">
        <v>3625</v>
      </c>
    </row>
    <row r="4168" spans="35:37">
      <c r="AI4168" s="468">
        <v>46540</v>
      </c>
      <c r="AJ4168" s="5" t="s">
        <v>3626</v>
      </c>
      <c r="AK4168" s="5" t="s">
        <v>3627</v>
      </c>
    </row>
    <row r="4169" spans="35:37">
      <c r="AI4169" s="468">
        <v>46541</v>
      </c>
      <c r="AJ4169" s="5" t="s">
        <v>3628</v>
      </c>
      <c r="AK4169" s="5" t="s">
        <v>3618</v>
      </c>
    </row>
    <row r="4170" spans="35:37">
      <c r="AI4170" s="468">
        <v>46542</v>
      </c>
      <c r="AJ4170" s="5" t="s">
        <v>3617</v>
      </c>
      <c r="AK4170" s="5" t="s">
        <v>3620</v>
      </c>
    </row>
    <row r="4171" spans="35:37">
      <c r="AI4171" s="468">
        <v>46543</v>
      </c>
      <c r="AJ4171" s="5" t="s">
        <v>3619</v>
      </c>
      <c r="AK4171" s="5" t="s">
        <v>3623</v>
      </c>
    </row>
    <row r="4172" spans="35:37">
      <c r="AI4172" s="468">
        <v>46544</v>
      </c>
      <c r="AJ4172" s="5" t="s">
        <v>3621</v>
      </c>
      <c r="AK4172" s="5" t="s">
        <v>3625</v>
      </c>
    </row>
    <row r="4173" spans="35:37">
      <c r="AI4173" s="468">
        <v>46545</v>
      </c>
      <c r="AJ4173" s="5" t="s">
        <v>3579</v>
      </c>
      <c r="AK4173" s="5" t="s">
        <v>3627</v>
      </c>
    </row>
    <row r="4174" spans="35:37">
      <c r="AI4174" s="468">
        <v>46546</v>
      </c>
      <c r="AJ4174" s="5" t="s">
        <v>3624</v>
      </c>
      <c r="AK4174" s="5" t="s">
        <v>3618</v>
      </c>
    </row>
    <row r="4175" spans="35:37">
      <c r="AI4175" s="468">
        <v>46547</v>
      </c>
      <c r="AJ4175" s="5" t="s">
        <v>3626</v>
      </c>
      <c r="AK4175" s="5" t="s">
        <v>3620</v>
      </c>
    </row>
    <row r="4176" spans="35:37">
      <c r="AI4176" s="468">
        <v>46548</v>
      </c>
      <c r="AJ4176" s="5" t="s">
        <v>3628</v>
      </c>
      <c r="AK4176" s="5" t="s">
        <v>3622</v>
      </c>
    </row>
    <row r="4177" spans="35:37">
      <c r="AI4177" s="468">
        <v>46549</v>
      </c>
      <c r="AJ4177" s="5" t="s">
        <v>3617</v>
      </c>
      <c r="AK4177" s="5" t="s">
        <v>3623</v>
      </c>
    </row>
    <row r="4178" spans="35:37">
      <c r="AI4178" s="468">
        <v>46550</v>
      </c>
      <c r="AJ4178" s="5" t="s">
        <v>3619</v>
      </c>
      <c r="AK4178" s="5" t="s">
        <v>3625</v>
      </c>
    </row>
    <row r="4179" spans="35:37">
      <c r="AI4179" s="468">
        <v>46551</v>
      </c>
      <c r="AJ4179" s="5" t="s">
        <v>3621</v>
      </c>
      <c r="AK4179" s="5" t="s">
        <v>3627</v>
      </c>
    </row>
    <row r="4180" spans="35:37">
      <c r="AI4180" s="468">
        <v>46552</v>
      </c>
      <c r="AJ4180" s="5" t="s">
        <v>3579</v>
      </c>
      <c r="AK4180" s="5" t="s">
        <v>3618</v>
      </c>
    </row>
    <row r="4181" spans="35:37">
      <c r="AI4181" s="468">
        <v>46553</v>
      </c>
      <c r="AJ4181" s="5" t="s">
        <v>3624</v>
      </c>
      <c r="AK4181" s="5" t="s">
        <v>3620</v>
      </c>
    </row>
    <row r="4182" spans="35:37">
      <c r="AI4182" s="468">
        <v>46554</v>
      </c>
      <c r="AJ4182" s="5" t="s">
        <v>3626</v>
      </c>
      <c r="AK4182" s="5" t="s">
        <v>3622</v>
      </c>
    </row>
    <row r="4183" spans="35:37">
      <c r="AI4183" s="468">
        <v>46555</v>
      </c>
      <c r="AJ4183" s="5" t="s">
        <v>3628</v>
      </c>
      <c r="AK4183" s="5" t="s">
        <v>3623</v>
      </c>
    </row>
    <row r="4184" spans="35:37">
      <c r="AI4184" s="468">
        <v>46556</v>
      </c>
      <c r="AJ4184" s="5" t="s">
        <v>3617</v>
      </c>
      <c r="AK4184" s="5" t="s">
        <v>3625</v>
      </c>
    </row>
    <row r="4185" spans="35:37">
      <c r="AI4185" s="468">
        <v>46557</v>
      </c>
      <c r="AJ4185" s="5" t="s">
        <v>3619</v>
      </c>
      <c r="AK4185" s="5" t="s">
        <v>3627</v>
      </c>
    </row>
    <row r="4186" spans="35:37">
      <c r="AI4186" s="468">
        <v>46558</v>
      </c>
      <c r="AJ4186" s="5" t="s">
        <v>3621</v>
      </c>
      <c r="AK4186" s="5" t="s">
        <v>3618</v>
      </c>
    </row>
    <row r="4187" spans="35:37">
      <c r="AI4187" s="468">
        <v>46559</v>
      </c>
      <c r="AJ4187" s="5" t="s">
        <v>3579</v>
      </c>
      <c r="AK4187" s="5" t="s">
        <v>3620</v>
      </c>
    </row>
    <row r="4188" spans="35:37">
      <c r="AI4188" s="468">
        <v>46560</v>
      </c>
      <c r="AJ4188" s="5" t="s">
        <v>3624</v>
      </c>
      <c r="AK4188" s="5" t="s">
        <v>3622</v>
      </c>
    </row>
    <row r="4189" spans="35:37">
      <c r="AI4189" s="468">
        <v>46561</v>
      </c>
      <c r="AJ4189" s="5" t="s">
        <v>3626</v>
      </c>
      <c r="AK4189" s="5" t="s">
        <v>3623</v>
      </c>
    </row>
    <row r="4190" spans="35:37">
      <c r="AI4190" s="468">
        <v>46562</v>
      </c>
      <c r="AJ4190" s="5" t="s">
        <v>3628</v>
      </c>
      <c r="AK4190" s="5" t="s">
        <v>3625</v>
      </c>
    </row>
    <row r="4191" spans="35:37">
      <c r="AI4191" s="468">
        <v>46563</v>
      </c>
      <c r="AJ4191" s="5" t="s">
        <v>3617</v>
      </c>
      <c r="AK4191" s="5" t="s">
        <v>3627</v>
      </c>
    </row>
    <row r="4192" spans="35:37">
      <c r="AI4192" s="468">
        <v>46564</v>
      </c>
      <c r="AJ4192" s="5" t="s">
        <v>3619</v>
      </c>
      <c r="AK4192" s="5" t="s">
        <v>3618</v>
      </c>
    </row>
    <row r="4193" spans="35:37">
      <c r="AI4193" s="468">
        <v>46565</v>
      </c>
      <c r="AJ4193" s="5" t="s">
        <v>3621</v>
      </c>
      <c r="AK4193" s="5" t="s">
        <v>3620</v>
      </c>
    </row>
    <row r="4194" spans="35:37">
      <c r="AI4194" s="468">
        <v>46566</v>
      </c>
      <c r="AJ4194" s="5" t="s">
        <v>3579</v>
      </c>
      <c r="AK4194" s="5" t="s">
        <v>3622</v>
      </c>
    </row>
    <row r="4195" spans="35:37">
      <c r="AI4195" s="468">
        <v>46567</v>
      </c>
      <c r="AJ4195" s="5" t="s">
        <v>3624</v>
      </c>
      <c r="AK4195" s="5" t="s">
        <v>3623</v>
      </c>
    </row>
    <row r="4196" spans="35:37">
      <c r="AI4196" s="468">
        <v>46568</v>
      </c>
      <c r="AJ4196" s="5" t="s">
        <v>3626</v>
      </c>
      <c r="AK4196" s="5" t="s">
        <v>3625</v>
      </c>
    </row>
    <row r="4197" spans="35:37">
      <c r="AI4197" s="468">
        <v>46569</v>
      </c>
      <c r="AJ4197" s="5" t="s">
        <v>3628</v>
      </c>
      <c r="AK4197" s="5" t="s">
        <v>3627</v>
      </c>
    </row>
    <row r="4198" spans="35:37">
      <c r="AI4198" s="468">
        <v>46570</v>
      </c>
      <c r="AJ4198" s="5" t="s">
        <v>3617</v>
      </c>
      <c r="AK4198" s="5" t="s">
        <v>3618</v>
      </c>
    </row>
    <row r="4199" spans="35:37">
      <c r="AI4199" s="468">
        <v>46571</v>
      </c>
      <c r="AJ4199" s="5" t="s">
        <v>3619</v>
      </c>
      <c r="AK4199" s="5" t="s">
        <v>3620</v>
      </c>
    </row>
    <row r="4200" spans="35:37">
      <c r="AI4200" s="468">
        <v>46572</v>
      </c>
      <c r="AJ4200" s="5" t="s">
        <v>3621</v>
      </c>
      <c r="AK4200" s="5" t="s">
        <v>3625</v>
      </c>
    </row>
    <row r="4201" spans="35:37">
      <c r="AI4201" s="468">
        <v>46573</v>
      </c>
      <c r="AJ4201" s="5" t="s">
        <v>3579</v>
      </c>
      <c r="AK4201" s="5" t="s">
        <v>3627</v>
      </c>
    </row>
    <row r="4202" spans="35:37">
      <c r="AI4202" s="468">
        <v>46574</v>
      </c>
      <c r="AJ4202" s="5" t="s">
        <v>3624</v>
      </c>
      <c r="AK4202" s="5" t="s">
        <v>3618</v>
      </c>
    </row>
    <row r="4203" spans="35:37">
      <c r="AI4203" s="468">
        <v>46575</v>
      </c>
      <c r="AJ4203" s="5" t="s">
        <v>3626</v>
      </c>
      <c r="AK4203" s="5" t="s">
        <v>3620</v>
      </c>
    </row>
    <row r="4204" spans="35:37">
      <c r="AI4204" s="468">
        <v>46576</v>
      </c>
      <c r="AJ4204" s="5" t="s">
        <v>3628</v>
      </c>
      <c r="AK4204" s="5" t="s">
        <v>3622</v>
      </c>
    </row>
    <row r="4205" spans="35:37">
      <c r="AI4205" s="468">
        <v>46577</v>
      </c>
      <c r="AJ4205" s="5" t="s">
        <v>3617</v>
      </c>
      <c r="AK4205" s="5" t="s">
        <v>3623</v>
      </c>
    </row>
    <row r="4206" spans="35:37">
      <c r="AI4206" s="468">
        <v>46578</v>
      </c>
      <c r="AJ4206" s="5" t="s">
        <v>3619</v>
      </c>
      <c r="AK4206" s="5" t="s">
        <v>3625</v>
      </c>
    </row>
    <row r="4207" spans="35:37">
      <c r="AI4207" s="468">
        <v>46579</v>
      </c>
      <c r="AJ4207" s="5" t="s">
        <v>3621</v>
      </c>
      <c r="AK4207" s="5" t="s">
        <v>3627</v>
      </c>
    </row>
    <row r="4208" spans="35:37">
      <c r="AI4208" s="468">
        <v>46580</v>
      </c>
      <c r="AJ4208" s="5" t="s">
        <v>3579</v>
      </c>
      <c r="AK4208" s="5" t="s">
        <v>3618</v>
      </c>
    </row>
    <row r="4209" spans="35:37">
      <c r="AI4209" s="468">
        <v>46581</v>
      </c>
      <c r="AJ4209" s="5" t="s">
        <v>3624</v>
      </c>
      <c r="AK4209" s="5" t="s">
        <v>3620</v>
      </c>
    </row>
    <row r="4210" spans="35:37">
      <c r="AI4210" s="468">
        <v>46582</v>
      </c>
      <c r="AJ4210" s="5" t="s">
        <v>3626</v>
      </c>
      <c r="AK4210" s="5" t="s">
        <v>3622</v>
      </c>
    </row>
    <row r="4211" spans="35:37">
      <c r="AI4211" s="468">
        <v>46583</v>
      </c>
      <c r="AJ4211" s="5" t="s">
        <v>3628</v>
      </c>
      <c r="AK4211" s="5" t="s">
        <v>3623</v>
      </c>
    </row>
    <row r="4212" spans="35:37">
      <c r="AI4212" s="468">
        <v>46584</v>
      </c>
      <c r="AJ4212" s="5" t="s">
        <v>3617</v>
      </c>
      <c r="AK4212" s="5" t="s">
        <v>3625</v>
      </c>
    </row>
    <row r="4213" spans="35:37">
      <c r="AI4213" s="468">
        <v>46585</v>
      </c>
      <c r="AJ4213" s="5" t="s">
        <v>3619</v>
      </c>
      <c r="AK4213" s="5" t="s">
        <v>3627</v>
      </c>
    </row>
    <row r="4214" spans="35:37">
      <c r="AI4214" s="468">
        <v>46586</v>
      </c>
      <c r="AJ4214" s="5" t="s">
        <v>3621</v>
      </c>
      <c r="AK4214" s="5" t="s">
        <v>3618</v>
      </c>
    </row>
    <row r="4215" spans="35:37">
      <c r="AI4215" s="468">
        <v>46587</v>
      </c>
      <c r="AJ4215" s="5" t="s">
        <v>3579</v>
      </c>
      <c r="AK4215" s="5" t="s">
        <v>3620</v>
      </c>
    </row>
    <row r="4216" spans="35:37">
      <c r="AI4216" s="468">
        <v>46588</v>
      </c>
      <c r="AJ4216" s="5" t="s">
        <v>3624</v>
      </c>
      <c r="AK4216" s="5" t="s">
        <v>3622</v>
      </c>
    </row>
    <row r="4217" spans="35:37">
      <c r="AI4217" s="468">
        <v>46589</v>
      </c>
      <c r="AJ4217" s="5" t="s">
        <v>3626</v>
      </c>
      <c r="AK4217" s="5" t="s">
        <v>3623</v>
      </c>
    </row>
    <row r="4218" spans="35:37">
      <c r="AI4218" s="468">
        <v>46590</v>
      </c>
      <c r="AJ4218" s="5" t="s">
        <v>3628</v>
      </c>
      <c r="AK4218" s="5" t="s">
        <v>3625</v>
      </c>
    </row>
    <row r="4219" spans="35:37">
      <c r="AI4219" s="468">
        <v>46591</v>
      </c>
      <c r="AJ4219" s="5" t="s">
        <v>3617</v>
      </c>
      <c r="AK4219" s="5" t="s">
        <v>3627</v>
      </c>
    </row>
    <row r="4220" spans="35:37">
      <c r="AI4220" s="468">
        <v>46592</v>
      </c>
      <c r="AJ4220" s="5" t="s">
        <v>3619</v>
      </c>
      <c r="AK4220" s="5" t="s">
        <v>3618</v>
      </c>
    </row>
    <row r="4221" spans="35:37">
      <c r="AI4221" s="468">
        <v>46593</v>
      </c>
      <c r="AJ4221" s="5" t="s">
        <v>3621</v>
      </c>
      <c r="AK4221" s="5" t="s">
        <v>3620</v>
      </c>
    </row>
    <row r="4222" spans="35:37">
      <c r="AI4222" s="468">
        <v>46594</v>
      </c>
      <c r="AJ4222" s="5" t="s">
        <v>3579</v>
      </c>
      <c r="AK4222" s="5" t="s">
        <v>3622</v>
      </c>
    </row>
    <row r="4223" spans="35:37">
      <c r="AI4223" s="468">
        <v>46595</v>
      </c>
      <c r="AJ4223" s="5" t="s">
        <v>3624</v>
      </c>
      <c r="AK4223" s="5" t="s">
        <v>3623</v>
      </c>
    </row>
    <row r="4224" spans="35:37">
      <c r="AI4224" s="468">
        <v>46596</v>
      </c>
      <c r="AJ4224" s="5" t="s">
        <v>3626</v>
      </c>
      <c r="AK4224" s="5" t="s">
        <v>3625</v>
      </c>
    </row>
    <row r="4225" spans="35:37">
      <c r="AI4225" s="468">
        <v>46597</v>
      </c>
      <c r="AJ4225" s="5" t="s">
        <v>3628</v>
      </c>
      <c r="AK4225" s="5" t="s">
        <v>3627</v>
      </c>
    </row>
    <row r="4226" spans="35:37">
      <c r="AI4226" s="468">
        <v>46598</v>
      </c>
      <c r="AJ4226" s="5" t="s">
        <v>3617</v>
      </c>
      <c r="AK4226" s="5" t="s">
        <v>3618</v>
      </c>
    </row>
    <row r="4227" spans="35:37">
      <c r="AI4227" s="468">
        <v>46599</v>
      </c>
      <c r="AJ4227" s="5" t="s">
        <v>3619</v>
      </c>
      <c r="AK4227" s="5" t="s">
        <v>3620</v>
      </c>
    </row>
    <row r="4228" spans="35:37">
      <c r="AI4228" s="468">
        <v>46600</v>
      </c>
      <c r="AJ4228" s="5" t="s">
        <v>3621</v>
      </c>
      <c r="AK4228" s="5" t="s">
        <v>3622</v>
      </c>
    </row>
    <row r="4229" spans="35:37">
      <c r="AI4229" s="468">
        <v>46601</v>
      </c>
      <c r="AJ4229" s="5" t="s">
        <v>3579</v>
      </c>
      <c r="AK4229" s="5" t="s">
        <v>3627</v>
      </c>
    </row>
    <row r="4230" spans="35:37">
      <c r="AI4230" s="468">
        <v>46602</v>
      </c>
      <c r="AJ4230" s="5" t="s">
        <v>3624</v>
      </c>
      <c r="AK4230" s="5" t="s">
        <v>3618</v>
      </c>
    </row>
    <row r="4231" spans="35:37">
      <c r="AI4231" s="468">
        <v>46603</v>
      </c>
      <c r="AJ4231" s="5" t="s">
        <v>3626</v>
      </c>
      <c r="AK4231" s="5" t="s">
        <v>3620</v>
      </c>
    </row>
    <row r="4232" spans="35:37">
      <c r="AI4232" s="468">
        <v>46604</v>
      </c>
      <c r="AJ4232" s="5" t="s">
        <v>3628</v>
      </c>
      <c r="AK4232" s="5" t="s">
        <v>3622</v>
      </c>
    </row>
    <row r="4233" spans="35:37">
      <c r="AI4233" s="468">
        <v>46605</v>
      </c>
      <c r="AJ4233" s="5" t="s">
        <v>3617</v>
      </c>
      <c r="AK4233" s="5" t="s">
        <v>3623</v>
      </c>
    </row>
    <row r="4234" spans="35:37">
      <c r="AI4234" s="468">
        <v>46606</v>
      </c>
      <c r="AJ4234" s="5" t="s">
        <v>3619</v>
      </c>
      <c r="AK4234" s="5" t="s">
        <v>3625</v>
      </c>
    </row>
    <row r="4235" spans="35:37">
      <c r="AI4235" s="468">
        <v>46607</v>
      </c>
      <c r="AJ4235" s="5" t="s">
        <v>3621</v>
      </c>
      <c r="AK4235" s="5" t="s">
        <v>3627</v>
      </c>
    </row>
    <row r="4236" spans="35:37">
      <c r="AI4236" s="468">
        <v>46608</v>
      </c>
      <c r="AJ4236" s="5" t="s">
        <v>3579</v>
      </c>
      <c r="AK4236" s="5" t="s">
        <v>3618</v>
      </c>
    </row>
    <row r="4237" spans="35:37">
      <c r="AI4237" s="468">
        <v>46609</v>
      </c>
      <c r="AJ4237" s="5" t="s">
        <v>3624</v>
      </c>
      <c r="AK4237" s="5" t="s">
        <v>3620</v>
      </c>
    </row>
    <row r="4238" spans="35:37">
      <c r="AI4238" s="468">
        <v>46610</v>
      </c>
      <c r="AJ4238" s="5" t="s">
        <v>3626</v>
      </c>
      <c r="AK4238" s="5" t="s">
        <v>3622</v>
      </c>
    </row>
    <row r="4239" spans="35:37">
      <c r="AI4239" s="468">
        <v>46611</v>
      </c>
      <c r="AJ4239" s="5" t="s">
        <v>3628</v>
      </c>
      <c r="AK4239" s="5" t="s">
        <v>3623</v>
      </c>
    </row>
    <row r="4240" spans="35:37">
      <c r="AI4240" s="468">
        <v>46612</v>
      </c>
      <c r="AJ4240" s="5" t="s">
        <v>3617</v>
      </c>
      <c r="AK4240" s="5" t="s">
        <v>3625</v>
      </c>
    </row>
    <row r="4241" spans="35:37">
      <c r="AI4241" s="468">
        <v>46613</v>
      </c>
      <c r="AJ4241" s="5" t="s">
        <v>3619</v>
      </c>
      <c r="AK4241" s="5" t="s">
        <v>3627</v>
      </c>
    </row>
    <row r="4242" spans="35:37">
      <c r="AI4242" s="468">
        <v>46614</v>
      </c>
      <c r="AJ4242" s="5" t="s">
        <v>3621</v>
      </c>
      <c r="AK4242" s="5" t="s">
        <v>3618</v>
      </c>
    </row>
    <row r="4243" spans="35:37">
      <c r="AI4243" s="468">
        <v>46615</v>
      </c>
      <c r="AJ4243" s="5" t="s">
        <v>3579</v>
      </c>
      <c r="AK4243" s="5" t="s">
        <v>3620</v>
      </c>
    </row>
    <row r="4244" spans="35:37">
      <c r="AI4244" s="468">
        <v>46616</v>
      </c>
      <c r="AJ4244" s="5" t="s">
        <v>3624</v>
      </c>
      <c r="AK4244" s="5" t="s">
        <v>3622</v>
      </c>
    </row>
    <row r="4245" spans="35:37">
      <c r="AI4245" s="468">
        <v>46617</v>
      </c>
      <c r="AJ4245" s="5" t="s">
        <v>3626</v>
      </c>
      <c r="AK4245" s="5" t="s">
        <v>3623</v>
      </c>
    </row>
    <row r="4246" spans="35:37">
      <c r="AI4246" s="468">
        <v>46618</v>
      </c>
      <c r="AJ4246" s="5" t="s">
        <v>3628</v>
      </c>
      <c r="AK4246" s="5" t="s">
        <v>3625</v>
      </c>
    </row>
    <row r="4247" spans="35:37">
      <c r="AI4247" s="468">
        <v>46619</v>
      </c>
      <c r="AJ4247" s="5" t="s">
        <v>3617</v>
      </c>
      <c r="AK4247" s="5" t="s">
        <v>3627</v>
      </c>
    </row>
    <row r="4248" spans="35:37">
      <c r="AI4248" s="468">
        <v>46620</v>
      </c>
      <c r="AJ4248" s="5" t="s">
        <v>3619</v>
      </c>
      <c r="AK4248" s="5" t="s">
        <v>3618</v>
      </c>
    </row>
    <row r="4249" spans="35:37">
      <c r="AI4249" s="468">
        <v>46621</v>
      </c>
      <c r="AJ4249" s="5" t="s">
        <v>3621</v>
      </c>
      <c r="AK4249" s="5" t="s">
        <v>3620</v>
      </c>
    </row>
    <row r="4250" spans="35:37">
      <c r="AI4250" s="468">
        <v>46622</v>
      </c>
      <c r="AJ4250" s="5" t="s">
        <v>3579</v>
      </c>
      <c r="AK4250" s="5" t="s">
        <v>3622</v>
      </c>
    </row>
    <row r="4251" spans="35:37">
      <c r="AI4251" s="468">
        <v>46623</v>
      </c>
      <c r="AJ4251" s="5" t="s">
        <v>3624</v>
      </c>
      <c r="AK4251" s="5" t="s">
        <v>3623</v>
      </c>
    </row>
    <row r="4252" spans="35:37">
      <c r="AI4252" s="468">
        <v>46624</v>
      </c>
      <c r="AJ4252" s="5" t="s">
        <v>3626</v>
      </c>
      <c r="AK4252" s="5" t="s">
        <v>3625</v>
      </c>
    </row>
    <row r="4253" spans="35:37">
      <c r="AI4253" s="468">
        <v>46625</v>
      </c>
      <c r="AJ4253" s="5" t="s">
        <v>3628</v>
      </c>
      <c r="AK4253" s="5" t="s">
        <v>3627</v>
      </c>
    </row>
    <row r="4254" spans="35:37">
      <c r="AI4254" s="468">
        <v>46626</v>
      </c>
      <c r="AJ4254" s="5" t="s">
        <v>3617</v>
      </c>
      <c r="AK4254" s="5" t="s">
        <v>3618</v>
      </c>
    </row>
    <row r="4255" spans="35:37">
      <c r="AI4255" s="468">
        <v>46627</v>
      </c>
      <c r="AJ4255" s="5" t="s">
        <v>3619</v>
      </c>
      <c r="AK4255" s="5" t="s">
        <v>3620</v>
      </c>
    </row>
    <row r="4256" spans="35:37">
      <c r="AI4256" s="468">
        <v>46628</v>
      </c>
      <c r="AJ4256" s="5" t="s">
        <v>3621</v>
      </c>
      <c r="AK4256" s="5" t="s">
        <v>3622</v>
      </c>
    </row>
    <row r="4257" spans="35:37">
      <c r="AI4257" s="468">
        <v>46629</v>
      </c>
      <c r="AJ4257" s="5" t="s">
        <v>3579</v>
      </c>
      <c r="AK4257" s="5" t="s">
        <v>3623</v>
      </c>
    </row>
    <row r="4258" spans="35:37">
      <c r="AI4258" s="468">
        <v>46630</v>
      </c>
      <c r="AJ4258" s="5" t="s">
        <v>3624</v>
      </c>
      <c r="AK4258" s="5" t="s">
        <v>3625</v>
      </c>
    </row>
    <row r="4259" spans="35:37">
      <c r="AI4259" s="468">
        <v>46631</v>
      </c>
      <c r="AJ4259" s="5" t="s">
        <v>3626</v>
      </c>
      <c r="AK4259" s="5" t="s">
        <v>3618</v>
      </c>
    </row>
    <row r="4260" spans="35:37">
      <c r="AI4260" s="468">
        <v>46632</v>
      </c>
      <c r="AJ4260" s="5" t="s">
        <v>3628</v>
      </c>
      <c r="AK4260" s="5" t="s">
        <v>3620</v>
      </c>
    </row>
    <row r="4261" spans="35:37">
      <c r="AI4261" s="468">
        <v>46633</v>
      </c>
      <c r="AJ4261" s="5" t="s">
        <v>3617</v>
      </c>
      <c r="AK4261" s="5" t="s">
        <v>3622</v>
      </c>
    </row>
    <row r="4262" spans="35:37">
      <c r="AI4262" s="468">
        <v>46634</v>
      </c>
      <c r="AJ4262" s="5" t="s">
        <v>3619</v>
      </c>
      <c r="AK4262" s="5" t="s">
        <v>3623</v>
      </c>
    </row>
    <row r="4263" spans="35:37">
      <c r="AI4263" s="468">
        <v>46635</v>
      </c>
      <c r="AJ4263" s="5" t="s">
        <v>3621</v>
      </c>
      <c r="AK4263" s="5" t="s">
        <v>3625</v>
      </c>
    </row>
    <row r="4264" spans="35:37">
      <c r="AI4264" s="468">
        <v>46636</v>
      </c>
      <c r="AJ4264" s="5" t="s">
        <v>3579</v>
      </c>
      <c r="AK4264" s="5" t="s">
        <v>3627</v>
      </c>
    </row>
    <row r="4265" spans="35:37">
      <c r="AI4265" s="468">
        <v>46637</v>
      </c>
      <c r="AJ4265" s="5" t="s">
        <v>3624</v>
      </c>
      <c r="AK4265" s="5" t="s">
        <v>3618</v>
      </c>
    </row>
    <row r="4266" spans="35:37">
      <c r="AI4266" s="468">
        <v>46638</v>
      </c>
      <c r="AJ4266" s="5" t="s">
        <v>3626</v>
      </c>
      <c r="AK4266" s="5" t="s">
        <v>3620</v>
      </c>
    </row>
    <row r="4267" spans="35:37">
      <c r="AI4267" s="468">
        <v>46639</v>
      </c>
      <c r="AJ4267" s="5" t="s">
        <v>3628</v>
      </c>
      <c r="AK4267" s="5" t="s">
        <v>3622</v>
      </c>
    </row>
    <row r="4268" spans="35:37">
      <c r="AI4268" s="468">
        <v>46640</v>
      </c>
      <c r="AJ4268" s="5" t="s">
        <v>3617</v>
      </c>
      <c r="AK4268" s="5" t="s">
        <v>3623</v>
      </c>
    </row>
    <row r="4269" spans="35:37">
      <c r="AI4269" s="468">
        <v>46641</v>
      </c>
      <c r="AJ4269" s="5" t="s">
        <v>3619</v>
      </c>
      <c r="AK4269" s="5" t="s">
        <v>3625</v>
      </c>
    </row>
    <row r="4270" spans="35:37">
      <c r="AI4270" s="468">
        <v>46642</v>
      </c>
      <c r="AJ4270" s="5" t="s">
        <v>3621</v>
      </c>
      <c r="AK4270" s="5" t="s">
        <v>3627</v>
      </c>
    </row>
    <row r="4271" spans="35:37">
      <c r="AI4271" s="468">
        <v>46643</v>
      </c>
      <c r="AJ4271" s="5" t="s">
        <v>3579</v>
      </c>
      <c r="AK4271" s="5" t="s">
        <v>3618</v>
      </c>
    </row>
    <row r="4272" spans="35:37">
      <c r="AI4272" s="468">
        <v>46644</v>
      </c>
      <c r="AJ4272" s="5" t="s">
        <v>3624</v>
      </c>
      <c r="AK4272" s="5" t="s">
        <v>3620</v>
      </c>
    </row>
    <row r="4273" spans="35:37">
      <c r="AI4273" s="468">
        <v>46645</v>
      </c>
      <c r="AJ4273" s="5" t="s">
        <v>3626</v>
      </c>
      <c r="AK4273" s="5" t="s">
        <v>3622</v>
      </c>
    </row>
    <row r="4274" spans="35:37">
      <c r="AI4274" s="468">
        <v>46646</v>
      </c>
      <c r="AJ4274" s="5" t="s">
        <v>3628</v>
      </c>
      <c r="AK4274" s="5" t="s">
        <v>3623</v>
      </c>
    </row>
    <row r="4275" spans="35:37">
      <c r="AI4275" s="468">
        <v>46647</v>
      </c>
      <c r="AJ4275" s="5" t="s">
        <v>3617</v>
      </c>
      <c r="AK4275" s="5" t="s">
        <v>3625</v>
      </c>
    </row>
    <row r="4276" spans="35:37">
      <c r="AI4276" s="468">
        <v>46648</v>
      </c>
      <c r="AJ4276" s="5" t="s">
        <v>3619</v>
      </c>
      <c r="AK4276" s="5" t="s">
        <v>3627</v>
      </c>
    </row>
    <row r="4277" spans="35:37">
      <c r="AI4277" s="468">
        <v>46649</v>
      </c>
      <c r="AJ4277" s="5" t="s">
        <v>3621</v>
      </c>
      <c r="AK4277" s="5" t="s">
        <v>3618</v>
      </c>
    </row>
    <row r="4278" spans="35:37">
      <c r="AI4278" s="468">
        <v>46650</v>
      </c>
      <c r="AJ4278" s="5" t="s">
        <v>3579</v>
      </c>
      <c r="AK4278" s="5" t="s">
        <v>3620</v>
      </c>
    </row>
    <row r="4279" spans="35:37">
      <c r="AI4279" s="468">
        <v>46651</v>
      </c>
      <c r="AJ4279" s="5" t="s">
        <v>3624</v>
      </c>
      <c r="AK4279" s="5" t="s">
        <v>3622</v>
      </c>
    </row>
    <row r="4280" spans="35:37">
      <c r="AI4280" s="468">
        <v>46652</v>
      </c>
      <c r="AJ4280" s="5" t="s">
        <v>3626</v>
      </c>
      <c r="AK4280" s="5" t="s">
        <v>3623</v>
      </c>
    </row>
    <row r="4281" spans="35:37">
      <c r="AI4281" s="468">
        <v>46653</v>
      </c>
      <c r="AJ4281" s="5" t="s">
        <v>3628</v>
      </c>
      <c r="AK4281" s="5" t="s">
        <v>3625</v>
      </c>
    </row>
    <row r="4282" spans="35:37">
      <c r="AI4282" s="468">
        <v>46654</v>
      </c>
      <c r="AJ4282" s="5" t="s">
        <v>3617</v>
      </c>
      <c r="AK4282" s="5" t="s">
        <v>3627</v>
      </c>
    </row>
    <row r="4283" spans="35:37">
      <c r="AI4283" s="468">
        <v>46655</v>
      </c>
      <c r="AJ4283" s="5" t="s">
        <v>3619</v>
      </c>
      <c r="AK4283" s="5" t="s">
        <v>3618</v>
      </c>
    </row>
    <row r="4284" spans="35:37">
      <c r="AI4284" s="468">
        <v>46656</v>
      </c>
      <c r="AJ4284" s="5" t="s">
        <v>3621</v>
      </c>
      <c r="AK4284" s="5" t="s">
        <v>3620</v>
      </c>
    </row>
    <row r="4285" spans="35:37">
      <c r="AI4285" s="468">
        <v>46657</v>
      </c>
      <c r="AJ4285" s="5" t="s">
        <v>3579</v>
      </c>
      <c r="AK4285" s="5" t="s">
        <v>3622</v>
      </c>
    </row>
    <row r="4286" spans="35:37">
      <c r="AI4286" s="468">
        <v>46658</v>
      </c>
      <c r="AJ4286" s="5" t="s">
        <v>3624</v>
      </c>
      <c r="AK4286" s="5" t="s">
        <v>3623</v>
      </c>
    </row>
    <row r="4287" spans="35:37">
      <c r="AI4287" s="468">
        <v>46659</v>
      </c>
      <c r="AJ4287" s="5" t="s">
        <v>3626</v>
      </c>
      <c r="AK4287" s="5" t="s">
        <v>3625</v>
      </c>
    </row>
    <row r="4288" spans="35:37">
      <c r="AI4288" s="468">
        <v>46660</v>
      </c>
      <c r="AJ4288" s="5" t="s">
        <v>3628</v>
      </c>
      <c r="AK4288" s="5" t="s">
        <v>3620</v>
      </c>
    </row>
    <row r="4289" spans="35:37">
      <c r="AI4289" s="468">
        <v>46661</v>
      </c>
      <c r="AJ4289" s="5" t="s">
        <v>3617</v>
      </c>
      <c r="AK4289" s="5" t="s">
        <v>3622</v>
      </c>
    </row>
    <row r="4290" spans="35:37">
      <c r="AI4290" s="468">
        <v>46662</v>
      </c>
      <c r="AJ4290" s="5" t="s">
        <v>3619</v>
      </c>
      <c r="AK4290" s="5" t="s">
        <v>3623</v>
      </c>
    </row>
    <row r="4291" spans="35:37">
      <c r="AI4291" s="468">
        <v>46663</v>
      </c>
      <c r="AJ4291" s="5" t="s">
        <v>3621</v>
      </c>
      <c r="AK4291" s="5" t="s">
        <v>3625</v>
      </c>
    </row>
    <row r="4292" spans="35:37">
      <c r="AI4292" s="468">
        <v>46664</v>
      </c>
      <c r="AJ4292" s="5" t="s">
        <v>3579</v>
      </c>
      <c r="AK4292" s="5" t="s">
        <v>3627</v>
      </c>
    </row>
    <row r="4293" spans="35:37">
      <c r="AI4293" s="468">
        <v>46665</v>
      </c>
      <c r="AJ4293" s="5" t="s">
        <v>3624</v>
      </c>
      <c r="AK4293" s="5" t="s">
        <v>3618</v>
      </c>
    </row>
    <row r="4294" spans="35:37">
      <c r="AI4294" s="468">
        <v>46666</v>
      </c>
      <c r="AJ4294" s="5" t="s">
        <v>3626</v>
      </c>
      <c r="AK4294" s="5" t="s">
        <v>3620</v>
      </c>
    </row>
    <row r="4295" spans="35:37">
      <c r="AI4295" s="468">
        <v>46667</v>
      </c>
      <c r="AJ4295" s="5" t="s">
        <v>3628</v>
      </c>
      <c r="AK4295" s="5" t="s">
        <v>3622</v>
      </c>
    </row>
    <row r="4296" spans="35:37">
      <c r="AI4296" s="468">
        <v>46668</v>
      </c>
      <c r="AJ4296" s="5" t="s">
        <v>3617</v>
      </c>
      <c r="AK4296" s="5" t="s">
        <v>3623</v>
      </c>
    </row>
    <row r="4297" spans="35:37">
      <c r="AI4297" s="468">
        <v>46669</v>
      </c>
      <c r="AJ4297" s="5" t="s">
        <v>3619</v>
      </c>
      <c r="AK4297" s="5" t="s">
        <v>3625</v>
      </c>
    </row>
    <row r="4298" spans="35:37">
      <c r="AI4298" s="468">
        <v>46670</v>
      </c>
      <c r="AJ4298" s="5" t="s">
        <v>3621</v>
      </c>
      <c r="AK4298" s="5" t="s">
        <v>3627</v>
      </c>
    </row>
    <row r="4299" spans="35:37">
      <c r="AI4299" s="468">
        <v>46671</v>
      </c>
      <c r="AJ4299" s="5" t="s">
        <v>3579</v>
      </c>
      <c r="AK4299" s="5" t="s">
        <v>3618</v>
      </c>
    </row>
    <row r="4300" spans="35:37">
      <c r="AI4300" s="468">
        <v>46672</v>
      </c>
      <c r="AJ4300" s="5" t="s">
        <v>3624</v>
      </c>
      <c r="AK4300" s="5" t="s">
        <v>3620</v>
      </c>
    </row>
    <row r="4301" spans="35:37">
      <c r="AI4301" s="468">
        <v>46673</v>
      </c>
      <c r="AJ4301" s="5" t="s">
        <v>3626</v>
      </c>
      <c r="AK4301" s="5" t="s">
        <v>3622</v>
      </c>
    </row>
    <row r="4302" spans="35:37">
      <c r="AI4302" s="468">
        <v>46674</v>
      </c>
      <c r="AJ4302" s="5" t="s">
        <v>3628</v>
      </c>
      <c r="AK4302" s="5" t="s">
        <v>3623</v>
      </c>
    </row>
    <row r="4303" spans="35:37">
      <c r="AI4303" s="468">
        <v>46675</v>
      </c>
      <c r="AJ4303" s="5" t="s">
        <v>3617</v>
      </c>
      <c r="AK4303" s="5" t="s">
        <v>3625</v>
      </c>
    </row>
    <row r="4304" spans="35:37">
      <c r="AI4304" s="468">
        <v>46676</v>
      </c>
      <c r="AJ4304" s="5" t="s">
        <v>3619</v>
      </c>
      <c r="AK4304" s="5" t="s">
        <v>3627</v>
      </c>
    </row>
    <row r="4305" spans="35:37">
      <c r="AI4305" s="468">
        <v>46677</v>
      </c>
      <c r="AJ4305" s="5" t="s">
        <v>3621</v>
      </c>
      <c r="AK4305" s="5" t="s">
        <v>3618</v>
      </c>
    </row>
    <row r="4306" spans="35:37">
      <c r="AI4306" s="468">
        <v>46678</v>
      </c>
      <c r="AJ4306" s="5" t="s">
        <v>3579</v>
      </c>
      <c r="AK4306" s="5" t="s">
        <v>3620</v>
      </c>
    </row>
    <row r="4307" spans="35:37">
      <c r="AI4307" s="468">
        <v>46679</v>
      </c>
      <c r="AJ4307" s="5" t="s">
        <v>3624</v>
      </c>
      <c r="AK4307" s="5" t="s">
        <v>3622</v>
      </c>
    </row>
    <row r="4308" spans="35:37">
      <c r="AI4308" s="468">
        <v>46680</v>
      </c>
      <c r="AJ4308" s="5" t="s">
        <v>3626</v>
      </c>
      <c r="AK4308" s="5" t="s">
        <v>3623</v>
      </c>
    </row>
    <row r="4309" spans="35:37">
      <c r="AI4309" s="468">
        <v>46681</v>
      </c>
      <c r="AJ4309" s="5" t="s">
        <v>3628</v>
      </c>
      <c r="AK4309" s="5" t="s">
        <v>3625</v>
      </c>
    </row>
    <row r="4310" spans="35:37">
      <c r="AI4310" s="468">
        <v>46682</v>
      </c>
      <c r="AJ4310" s="5" t="s">
        <v>3617</v>
      </c>
      <c r="AK4310" s="5" t="s">
        <v>3627</v>
      </c>
    </row>
    <row r="4311" spans="35:37">
      <c r="AI4311" s="468">
        <v>46683</v>
      </c>
      <c r="AJ4311" s="5" t="s">
        <v>3619</v>
      </c>
      <c r="AK4311" s="5" t="s">
        <v>3618</v>
      </c>
    </row>
    <row r="4312" spans="35:37">
      <c r="AI4312" s="468">
        <v>46684</v>
      </c>
      <c r="AJ4312" s="5" t="s">
        <v>3621</v>
      </c>
      <c r="AK4312" s="5" t="s">
        <v>3620</v>
      </c>
    </row>
    <row r="4313" spans="35:37">
      <c r="AI4313" s="468">
        <v>46685</v>
      </c>
      <c r="AJ4313" s="5" t="s">
        <v>3579</v>
      </c>
      <c r="AK4313" s="5" t="s">
        <v>3622</v>
      </c>
    </row>
    <row r="4314" spans="35:37">
      <c r="AI4314" s="468">
        <v>46686</v>
      </c>
      <c r="AJ4314" s="5" t="s">
        <v>3624</v>
      </c>
      <c r="AK4314" s="5" t="s">
        <v>3623</v>
      </c>
    </row>
    <row r="4315" spans="35:37">
      <c r="AI4315" s="468">
        <v>46687</v>
      </c>
      <c r="AJ4315" s="5" t="s">
        <v>3626</v>
      </c>
      <c r="AK4315" s="5" t="s">
        <v>3625</v>
      </c>
    </row>
    <row r="4316" spans="35:37">
      <c r="AI4316" s="468">
        <v>46688</v>
      </c>
      <c r="AJ4316" s="5" t="s">
        <v>3628</v>
      </c>
      <c r="AK4316" s="5" t="s">
        <v>3627</v>
      </c>
    </row>
    <row r="4317" spans="35:37">
      <c r="AI4317" s="468">
        <v>46689</v>
      </c>
      <c r="AJ4317" s="5" t="s">
        <v>3617</v>
      </c>
      <c r="AK4317" s="5" t="s">
        <v>3622</v>
      </c>
    </row>
    <row r="4318" spans="35:37">
      <c r="AI4318" s="468">
        <v>46690</v>
      </c>
      <c r="AJ4318" s="5" t="s">
        <v>3619</v>
      </c>
      <c r="AK4318" s="5" t="s">
        <v>3623</v>
      </c>
    </row>
    <row r="4319" spans="35:37">
      <c r="AI4319" s="468">
        <v>46691</v>
      </c>
      <c r="AJ4319" s="5" t="s">
        <v>3621</v>
      </c>
      <c r="AK4319" s="5" t="s">
        <v>3625</v>
      </c>
    </row>
    <row r="4320" spans="35:37">
      <c r="AI4320" s="468">
        <v>46692</v>
      </c>
      <c r="AJ4320" s="5" t="s">
        <v>3579</v>
      </c>
      <c r="AK4320" s="5" t="s">
        <v>3627</v>
      </c>
    </row>
    <row r="4321" spans="35:37">
      <c r="AI4321" s="468">
        <v>46693</v>
      </c>
      <c r="AJ4321" s="5" t="s">
        <v>3624</v>
      </c>
      <c r="AK4321" s="5" t="s">
        <v>3618</v>
      </c>
    </row>
    <row r="4322" spans="35:37">
      <c r="AI4322" s="468">
        <v>46694</v>
      </c>
      <c r="AJ4322" s="5" t="s">
        <v>3626</v>
      </c>
      <c r="AK4322" s="5" t="s">
        <v>3620</v>
      </c>
    </row>
    <row r="4323" spans="35:37">
      <c r="AI4323" s="468">
        <v>46695</v>
      </c>
      <c r="AJ4323" s="5" t="s">
        <v>3628</v>
      </c>
      <c r="AK4323" s="5" t="s">
        <v>3622</v>
      </c>
    </row>
    <row r="4324" spans="35:37">
      <c r="AI4324" s="468">
        <v>46696</v>
      </c>
      <c r="AJ4324" s="5" t="s">
        <v>3617</v>
      </c>
      <c r="AK4324" s="5" t="s">
        <v>3623</v>
      </c>
    </row>
    <row r="4325" spans="35:37">
      <c r="AI4325" s="468">
        <v>46697</v>
      </c>
      <c r="AJ4325" s="5" t="s">
        <v>3619</v>
      </c>
      <c r="AK4325" s="5" t="s">
        <v>3625</v>
      </c>
    </row>
    <row r="4326" spans="35:37">
      <c r="AI4326" s="468">
        <v>46698</v>
      </c>
      <c r="AJ4326" s="5" t="s">
        <v>3621</v>
      </c>
      <c r="AK4326" s="5" t="s">
        <v>3627</v>
      </c>
    </row>
    <row r="4327" spans="35:37">
      <c r="AI4327" s="468">
        <v>46699</v>
      </c>
      <c r="AJ4327" s="5" t="s">
        <v>3579</v>
      </c>
      <c r="AK4327" s="5" t="s">
        <v>3618</v>
      </c>
    </row>
    <row r="4328" spans="35:37">
      <c r="AI4328" s="468">
        <v>46700</v>
      </c>
      <c r="AJ4328" s="5" t="s">
        <v>3624</v>
      </c>
      <c r="AK4328" s="5" t="s">
        <v>3620</v>
      </c>
    </row>
    <row r="4329" spans="35:37">
      <c r="AI4329" s="468">
        <v>46701</v>
      </c>
      <c r="AJ4329" s="5" t="s">
        <v>3626</v>
      </c>
      <c r="AK4329" s="5" t="s">
        <v>3622</v>
      </c>
    </row>
    <row r="4330" spans="35:37">
      <c r="AI4330" s="468">
        <v>46702</v>
      </c>
      <c r="AJ4330" s="5" t="s">
        <v>3628</v>
      </c>
      <c r="AK4330" s="5" t="s">
        <v>3623</v>
      </c>
    </row>
    <row r="4331" spans="35:37">
      <c r="AI4331" s="468">
        <v>46703</v>
      </c>
      <c r="AJ4331" s="5" t="s">
        <v>3617</v>
      </c>
      <c r="AK4331" s="5" t="s">
        <v>3625</v>
      </c>
    </row>
    <row r="4332" spans="35:37">
      <c r="AI4332" s="468">
        <v>46704</v>
      </c>
      <c r="AJ4332" s="5" t="s">
        <v>3619</v>
      </c>
      <c r="AK4332" s="5" t="s">
        <v>3627</v>
      </c>
    </row>
    <row r="4333" spans="35:37">
      <c r="AI4333" s="468">
        <v>46705</v>
      </c>
      <c r="AJ4333" s="5" t="s">
        <v>3621</v>
      </c>
      <c r="AK4333" s="5" t="s">
        <v>3618</v>
      </c>
    </row>
    <row r="4334" spans="35:37">
      <c r="AI4334" s="468">
        <v>46706</v>
      </c>
      <c r="AJ4334" s="5" t="s">
        <v>3579</v>
      </c>
      <c r="AK4334" s="5" t="s">
        <v>3620</v>
      </c>
    </row>
    <row r="4335" spans="35:37">
      <c r="AI4335" s="468">
        <v>46707</v>
      </c>
      <c r="AJ4335" s="5" t="s">
        <v>3624</v>
      </c>
      <c r="AK4335" s="5" t="s">
        <v>3622</v>
      </c>
    </row>
    <row r="4336" spans="35:37">
      <c r="AI4336" s="468">
        <v>46708</v>
      </c>
      <c r="AJ4336" s="5" t="s">
        <v>3626</v>
      </c>
      <c r="AK4336" s="5" t="s">
        <v>3623</v>
      </c>
    </row>
    <row r="4337" spans="35:37">
      <c r="AI4337" s="468">
        <v>46709</v>
      </c>
      <c r="AJ4337" s="5" t="s">
        <v>3628</v>
      </c>
      <c r="AK4337" s="5" t="s">
        <v>3625</v>
      </c>
    </row>
    <row r="4338" spans="35:37">
      <c r="AI4338" s="468">
        <v>46710</v>
      </c>
      <c r="AJ4338" s="5" t="s">
        <v>3617</v>
      </c>
      <c r="AK4338" s="5" t="s">
        <v>3627</v>
      </c>
    </row>
    <row r="4339" spans="35:37">
      <c r="AI4339" s="468">
        <v>46711</v>
      </c>
      <c r="AJ4339" s="5" t="s">
        <v>3619</v>
      </c>
      <c r="AK4339" s="5" t="s">
        <v>3618</v>
      </c>
    </row>
    <row r="4340" spans="35:37">
      <c r="AI4340" s="468">
        <v>46712</v>
      </c>
      <c r="AJ4340" s="5" t="s">
        <v>3621</v>
      </c>
      <c r="AK4340" s="5" t="s">
        <v>3620</v>
      </c>
    </row>
    <row r="4341" spans="35:37">
      <c r="AI4341" s="468">
        <v>46713</v>
      </c>
      <c r="AJ4341" s="5" t="s">
        <v>3579</v>
      </c>
      <c r="AK4341" s="5" t="s">
        <v>3622</v>
      </c>
    </row>
    <row r="4342" spans="35:37">
      <c r="AI4342" s="468">
        <v>46714</v>
      </c>
      <c r="AJ4342" s="5" t="s">
        <v>3624</v>
      </c>
      <c r="AK4342" s="5" t="s">
        <v>3623</v>
      </c>
    </row>
    <row r="4343" spans="35:37">
      <c r="AI4343" s="468">
        <v>46715</v>
      </c>
      <c r="AJ4343" s="5" t="s">
        <v>3626</v>
      </c>
      <c r="AK4343" s="5" t="s">
        <v>3625</v>
      </c>
    </row>
    <row r="4344" spans="35:37">
      <c r="AI4344" s="468">
        <v>46716</v>
      </c>
      <c r="AJ4344" s="5" t="s">
        <v>3628</v>
      </c>
      <c r="AK4344" s="5" t="s">
        <v>3627</v>
      </c>
    </row>
    <row r="4345" spans="35:37">
      <c r="AI4345" s="468">
        <v>46717</v>
      </c>
      <c r="AJ4345" s="5" t="s">
        <v>3617</v>
      </c>
      <c r="AK4345" s="5" t="s">
        <v>3618</v>
      </c>
    </row>
    <row r="4346" spans="35:37">
      <c r="AI4346" s="468">
        <v>46718</v>
      </c>
      <c r="AJ4346" s="5" t="s">
        <v>3619</v>
      </c>
      <c r="AK4346" s="5" t="s">
        <v>3620</v>
      </c>
    </row>
    <row r="4347" spans="35:37">
      <c r="AI4347" s="468">
        <v>46719</v>
      </c>
      <c r="AJ4347" s="5" t="s">
        <v>3621</v>
      </c>
      <c r="AK4347" s="5" t="s">
        <v>3623</v>
      </c>
    </row>
    <row r="4348" spans="35:37">
      <c r="AI4348" s="468">
        <v>46720</v>
      </c>
      <c r="AJ4348" s="5" t="s">
        <v>3579</v>
      </c>
      <c r="AK4348" s="5" t="s">
        <v>3625</v>
      </c>
    </row>
    <row r="4349" spans="35:37">
      <c r="AI4349" s="468">
        <v>46721</v>
      </c>
      <c r="AJ4349" s="5" t="s">
        <v>3624</v>
      </c>
      <c r="AK4349" s="5" t="s">
        <v>3627</v>
      </c>
    </row>
    <row r="4350" spans="35:37">
      <c r="AI4350" s="468">
        <v>46722</v>
      </c>
      <c r="AJ4350" s="5" t="s">
        <v>3626</v>
      </c>
      <c r="AK4350" s="5" t="s">
        <v>3618</v>
      </c>
    </row>
    <row r="4351" spans="35:37">
      <c r="AI4351" s="468">
        <v>46723</v>
      </c>
      <c r="AJ4351" s="5" t="s">
        <v>3628</v>
      </c>
      <c r="AK4351" s="5" t="s">
        <v>3620</v>
      </c>
    </row>
    <row r="4352" spans="35:37">
      <c r="AI4352" s="468">
        <v>46724</v>
      </c>
      <c r="AJ4352" s="5" t="s">
        <v>3617</v>
      </c>
      <c r="AK4352" s="5" t="s">
        <v>3622</v>
      </c>
    </row>
    <row r="4353" spans="35:37">
      <c r="AI4353" s="468">
        <v>46725</v>
      </c>
      <c r="AJ4353" s="5" t="s">
        <v>3619</v>
      </c>
      <c r="AK4353" s="5" t="s">
        <v>3623</v>
      </c>
    </row>
    <row r="4354" spans="35:37">
      <c r="AI4354" s="468">
        <v>46726</v>
      </c>
      <c r="AJ4354" s="5" t="s">
        <v>3621</v>
      </c>
      <c r="AK4354" s="5" t="s">
        <v>3625</v>
      </c>
    </row>
    <row r="4355" spans="35:37">
      <c r="AI4355" s="468">
        <v>46727</v>
      </c>
      <c r="AJ4355" s="5" t="s">
        <v>3579</v>
      </c>
      <c r="AK4355" s="5" t="s">
        <v>3627</v>
      </c>
    </row>
    <row r="4356" spans="35:37">
      <c r="AI4356" s="468">
        <v>46728</v>
      </c>
      <c r="AJ4356" s="5" t="s">
        <v>3624</v>
      </c>
      <c r="AK4356" s="5" t="s">
        <v>3618</v>
      </c>
    </row>
    <row r="4357" spans="35:37">
      <c r="AI4357" s="468">
        <v>46729</v>
      </c>
      <c r="AJ4357" s="5" t="s">
        <v>3626</v>
      </c>
      <c r="AK4357" s="5" t="s">
        <v>3620</v>
      </c>
    </row>
    <row r="4358" spans="35:37">
      <c r="AI4358" s="468">
        <v>46730</v>
      </c>
      <c r="AJ4358" s="5" t="s">
        <v>3628</v>
      </c>
      <c r="AK4358" s="5" t="s">
        <v>3622</v>
      </c>
    </row>
    <row r="4359" spans="35:37">
      <c r="AI4359" s="468">
        <v>46731</v>
      </c>
      <c r="AJ4359" s="5" t="s">
        <v>3617</v>
      </c>
      <c r="AK4359" s="5" t="s">
        <v>3623</v>
      </c>
    </row>
    <row r="4360" spans="35:37">
      <c r="AI4360" s="468">
        <v>46732</v>
      </c>
      <c r="AJ4360" s="5" t="s">
        <v>3619</v>
      </c>
      <c r="AK4360" s="5" t="s">
        <v>3625</v>
      </c>
    </row>
    <row r="4361" spans="35:37">
      <c r="AI4361" s="468">
        <v>46733</v>
      </c>
      <c r="AJ4361" s="5" t="s">
        <v>3621</v>
      </c>
      <c r="AK4361" s="5" t="s">
        <v>3627</v>
      </c>
    </row>
    <row r="4362" spans="35:37">
      <c r="AI4362" s="468">
        <v>46734</v>
      </c>
      <c r="AJ4362" s="5" t="s">
        <v>3579</v>
      </c>
      <c r="AK4362" s="5" t="s">
        <v>3618</v>
      </c>
    </row>
    <row r="4363" spans="35:37">
      <c r="AI4363" s="468">
        <v>46735</v>
      </c>
      <c r="AJ4363" s="5" t="s">
        <v>3624</v>
      </c>
      <c r="AK4363" s="5" t="s">
        <v>3620</v>
      </c>
    </row>
    <row r="4364" spans="35:37">
      <c r="AI4364" s="468">
        <v>46736</v>
      </c>
      <c r="AJ4364" s="5" t="s">
        <v>3626</v>
      </c>
      <c r="AK4364" s="5" t="s">
        <v>3622</v>
      </c>
    </row>
    <row r="4365" spans="35:37">
      <c r="AI4365" s="468">
        <v>46737</v>
      </c>
      <c r="AJ4365" s="5" t="s">
        <v>3628</v>
      </c>
      <c r="AK4365" s="5" t="s">
        <v>3623</v>
      </c>
    </row>
    <row r="4366" spans="35:37">
      <c r="AI4366" s="468">
        <v>46738</v>
      </c>
      <c r="AJ4366" s="5" t="s">
        <v>3617</v>
      </c>
      <c r="AK4366" s="5" t="s">
        <v>3625</v>
      </c>
    </row>
    <row r="4367" spans="35:37">
      <c r="AI4367" s="468">
        <v>46739</v>
      </c>
      <c r="AJ4367" s="5" t="s">
        <v>3619</v>
      </c>
      <c r="AK4367" s="5" t="s">
        <v>3627</v>
      </c>
    </row>
    <row r="4368" spans="35:37">
      <c r="AI4368" s="468">
        <v>46740</v>
      </c>
      <c r="AJ4368" s="5" t="s">
        <v>3621</v>
      </c>
      <c r="AK4368" s="5" t="s">
        <v>3618</v>
      </c>
    </row>
    <row r="4369" spans="35:37">
      <c r="AI4369" s="468">
        <v>46741</v>
      </c>
      <c r="AJ4369" s="5" t="s">
        <v>3579</v>
      </c>
      <c r="AK4369" s="5" t="s">
        <v>3620</v>
      </c>
    </row>
    <row r="4370" spans="35:37">
      <c r="AI4370" s="468">
        <v>46742</v>
      </c>
      <c r="AJ4370" s="5" t="s">
        <v>3624</v>
      </c>
      <c r="AK4370" s="5" t="s">
        <v>3622</v>
      </c>
    </row>
    <row r="4371" spans="35:37">
      <c r="AI4371" s="468">
        <v>46743</v>
      </c>
      <c r="AJ4371" s="5" t="s">
        <v>3626</v>
      </c>
      <c r="AK4371" s="5" t="s">
        <v>3623</v>
      </c>
    </row>
    <row r="4372" spans="35:37">
      <c r="AI4372" s="468">
        <v>46744</v>
      </c>
      <c r="AJ4372" s="5" t="s">
        <v>3628</v>
      </c>
      <c r="AK4372" s="5" t="s">
        <v>3625</v>
      </c>
    </row>
    <row r="4373" spans="35:37">
      <c r="AI4373" s="468">
        <v>46745</v>
      </c>
      <c r="AJ4373" s="5" t="s">
        <v>3617</v>
      </c>
      <c r="AK4373" s="5" t="s">
        <v>3627</v>
      </c>
    </row>
    <row r="4374" spans="35:37">
      <c r="AI4374" s="468">
        <v>46746</v>
      </c>
      <c r="AJ4374" s="5" t="s">
        <v>3619</v>
      </c>
      <c r="AK4374" s="5" t="s">
        <v>3618</v>
      </c>
    </row>
    <row r="4375" spans="35:37">
      <c r="AI4375" s="468">
        <v>46747</v>
      </c>
      <c r="AJ4375" s="5" t="s">
        <v>3621</v>
      </c>
      <c r="AK4375" s="5" t="s">
        <v>3620</v>
      </c>
    </row>
    <row r="4376" spans="35:37">
      <c r="AI4376" s="468">
        <v>46748</v>
      </c>
      <c r="AJ4376" s="5" t="s">
        <v>3579</v>
      </c>
      <c r="AK4376" s="5" t="s">
        <v>3622</v>
      </c>
    </row>
    <row r="4377" spans="35:37">
      <c r="AI4377" s="468">
        <v>46749</v>
      </c>
      <c r="AJ4377" s="5" t="s">
        <v>3624</v>
      </c>
      <c r="AK4377" s="5" t="s">
        <v>3625</v>
      </c>
    </row>
    <row r="4378" spans="35:37">
      <c r="AI4378" s="468">
        <v>46750</v>
      </c>
      <c r="AJ4378" s="5" t="s">
        <v>3626</v>
      </c>
      <c r="AK4378" s="5" t="s">
        <v>3627</v>
      </c>
    </row>
    <row r="4379" spans="35:37">
      <c r="AI4379" s="468">
        <v>46751</v>
      </c>
      <c r="AJ4379" s="5" t="s">
        <v>3628</v>
      </c>
      <c r="AK4379" s="5" t="s">
        <v>3618</v>
      </c>
    </row>
    <row r="4380" spans="35:37">
      <c r="AI4380" s="468">
        <v>46752</v>
      </c>
      <c r="AJ4380" s="5" t="s">
        <v>3617</v>
      </c>
      <c r="AK4380" s="5" t="s">
        <v>3620</v>
      </c>
    </row>
    <row r="4381" spans="35:37">
      <c r="AI4381" s="468">
        <v>46753</v>
      </c>
      <c r="AJ4381" s="5" t="s">
        <v>3619</v>
      </c>
      <c r="AK4381" s="5" t="s">
        <v>3622</v>
      </c>
    </row>
    <row r="4382" spans="35:37">
      <c r="AI4382" s="468">
        <v>46754</v>
      </c>
      <c r="AJ4382" s="5" t="s">
        <v>3621</v>
      </c>
      <c r="AK4382" s="5" t="s">
        <v>3623</v>
      </c>
    </row>
    <row r="4383" spans="35:37">
      <c r="AI4383" s="468">
        <v>46755</v>
      </c>
      <c r="AJ4383" s="5" t="s">
        <v>3579</v>
      </c>
      <c r="AK4383" s="5" t="s">
        <v>3625</v>
      </c>
    </row>
    <row r="4384" spans="35:37">
      <c r="AI4384" s="468">
        <v>46756</v>
      </c>
      <c r="AJ4384" s="5" t="s">
        <v>3624</v>
      </c>
      <c r="AK4384" s="5" t="s">
        <v>3627</v>
      </c>
    </row>
    <row r="4385" spans="35:37">
      <c r="AI4385" s="468">
        <v>46757</v>
      </c>
      <c r="AJ4385" s="5" t="s">
        <v>3626</v>
      </c>
      <c r="AK4385" s="5" t="s">
        <v>3618</v>
      </c>
    </row>
    <row r="4386" spans="35:37">
      <c r="AI4386" s="468">
        <v>46758</v>
      </c>
      <c r="AJ4386" s="5" t="s">
        <v>3628</v>
      </c>
      <c r="AK4386" s="5" t="s">
        <v>3620</v>
      </c>
    </row>
    <row r="4387" spans="35:37">
      <c r="AI4387" s="468">
        <v>46759</v>
      </c>
      <c r="AJ4387" s="5" t="s">
        <v>3617</v>
      </c>
      <c r="AK4387" s="5" t="s">
        <v>3622</v>
      </c>
    </row>
    <row r="4388" spans="35:37">
      <c r="AI4388" s="468">
        <v>46760</v>
      </c>
      <c r="AJ4388" s="5" t="s">
        <v>3619</v>
      </c>
      <c r="AK4388" s="5" t="s">
        <v>3623</v>
      </c>
    </row>
    <row r="4389" spans="35:37">
      <c r="AI4389" s="468">
        <v>46761</v>
      </c>
      <c r="AJ4389" s="5" t="s">
        <v>3621</v>
      </c>
      <c r="AK4389" s="5" t="s">
        <v>3625</v>
      </c>
    </row>
    <row r="4390" spans="35:37">
      <c r="AI4390" s="468">
        <v>46762</v>
      </c>
      <c r="AJ4390" s="5" t="s">
        <v>3579</v>
      </c>
      <c r="AK4390" s="5" t="s">
        <v>3627</v>
      </c>
    </row>
    <row r="4391" spans="35:37">
      <c r="AI4391" s="468">
        <v>46763</v>
      </c>
      <c r="AJ4391" s="5" t="s">
        <v>3624</v>
      </c>
      <c r="AK4391" s="5" t="s">
        <v>3618</v>
      </c>
    </row>
    <row r="4392" spans="35:37">
      <c r="AI4392" s="468">
        <v>46764</v>
      </c>
      <c r="AJ4392" s="5" t="s">
        <v>3626</v>
      </c>
      <c r="AK4392" s="5" t="s">
        <v>3620</v>
      </c>
    </row>
    <row r="4393" spans="35:37">
      <c r="AI4393" s="468">
        <v>46765</v>
      </c>
      <c r="AJ4393" s="5" t="s">
        <v>3628</v>
      </c>
      <c r="AK4393" s="5" t="s">
        <v>3622</v>
      </c>
    </row>
    <row r="4394" spans="35:37">
      <c r="AI4394" s="468">
        <v>46766</v>
      </c>
      <c r="AJ4394" s="5" t="s">
        <v>3617</v>
      </c>
      <c r="AK4394" s="5" t="s">
        <v>3623</v>
      </c>
    </row>
    <row r="4395" spans="35:37">
      <c r="AI4395" s="468">
        <v>46767</v>
      </c>
      <c r="AJ4395" s="5" t="s">
        <v>3619</v>
      </c>
      <c r="AK4395" s="5" t="s">
        <v>3625</v>
      </c>
    </row>
    <row r="4396" spans="35:37">
      <c r="AI4396" s="468">
        <v>46768</v>
      </c>
      <c r="AJ4396" s="5" t="s">
        <v>3621</v>
      </c>
      <c r="AK4396" s="5" t="s">
        <v>3627</v>
      </c>
    </row>
    <row r="4397" spans="35:37">
      <c r="AI4397" s="468">
        <v>46769</v>
      </c>
      <c r="AJ4397" s="5" t="s">
        <v>3579</v>
      </c>
      <c r="AK4397" s="5" t="s">
        <v>3618</v>
      </c>
    </row>
    <row r="4398" spans="35:37">
      <c r="AI4398" s="468">
        <v>46770</v>
      </c>
      <c r="AJ4398" s="5" t="s">
        <v>3624</v>
      </c>
      <c r="AK4398" s="5" t="s">
        <v>3620</v>
      </c>
    </row>
    <row r="4399" spans="35:37">
      <c r="AI4399" s="468">
        <v>46771</v>
      </c>
      <c r="AJ4399" s="5" t="s">
        <v>3626</v>
      </c>
      <c r="AK4399" s="5" t="s">
        <v>3622</v>
      </c>
    </row>
    <row r="4400" spans="35:37">
      <c r="AI4400" s="468">
        <v>46772</v>
      </c>
      <c r="AJ4400" s="5" t="s">
        <v>3628</v>
      </c>
      <c r="AK4400" s="5" t="s">
        <v>3623</v>
      </c>
    </row>
    <row r="4401" spans="35:37">
      <c r="AI4401" s="468">
        <v>46773</v>
      </c>
      <c r="AJ4401" s="5" t="s">
        <v>3617</v>
      </c>
      <c r="AK4401" s="5" t="s">
        <v>3625</v>
      </c>
    </row>
    <row r="4402" spans="35:37">
      <c r="AI4402" s="468">
        <v>46774</v>
      </c>
      <c r="AJ4402" s="5" t="s">
        <v>3619</v>
      </c>
      <c r="AK4402" s="5" t="s">
        <v>3627</v>
      </c>
    </row>
    <row r="4403" spans="35:37">
      <c r="AI4403" s="468">
        <v>46775</v>
      </c>
      <c r="AJ4403" s="5" t="s">
        <v>3621</v>
      </c>
      <c r="AK4403" s="5" t="s">
        <v>3618</v>
      </c>
    </row>
    <row r="4404" spans="35:37">
      <c r="AI4404" s="468">
        <v>46776</v>
      </c>
      <c r="AJ4404" s="5" t="s">
        <v>3579</v>
      </c>
      <c r="AK4404" s="5" t="s">
        <v>3620</v>
      </c>
    </row>
    <row r="4405" spans="35:37">
      <c r="AI4405" s="468">
        <v>46777</v>
      </c>
      <c r="AJ4405" s="5" t="s">
        <v>3624</v>
      </c>
      <c r="AK4405" s="5" t="s">
        <v>3622</v>
      </c>
    </row>
    <row r="4406" spans="35:37">
      <c r="AI4406" s="468">
        <v>46778</v>
      </c>
      <c r="AJ4406" s="5" t="s">
        <v>3626</v>
      </c>
      <c r="AK4406" s="5" t="s">
        <v>3623</v>
      </c>
    </row>
    <row r="4407" spans="35:37">
      <c r="AI4407" s="468">
        <v>46779</v>
      </c>
      <c r="AJ4407" s="5" t="s">
        <v>3628</v>
      </c>
      <c r="AK4407" s="5" t="s">
        <v>3627</v>
      </c>
    </row>
    <row r="4408" spans="35:37">
      <c r="AI4408" s="468">
        <v>46780</v>
      </c>
      <c r="AJ4408" s="5" t="s">
        <v>3617</v>
      </c>
      <c r="AK4408" s="5" t="s">
        <v>3618</v>
      </c>
    </row>
    <row r="4409" spans="35:37">
      <c r="AI4409" s="468">
        <v>46781</v>
      </c>
      <c r="AJ4409" s="5" t="s">
        <v>3619</v>
      </c>
      <c r="AK4409" s="5" t="s">
        <v>3620</v>
      </c>
    </row>
    <row r="4410" spans="35:37">
      <c r="AI4410" s="468">
        <v>46782</v>
      </c>
      <c r="AJ4410" s="5" t="s">
        <v>3621</v>
      </c>
      <c r="AK4410" s="5" t="s">
        <v>3622</v>
      </c>
    </row>
    <row r="4411" spans="35:37">
      <c r="AI4411" s="468">
        <v>46783</v>
      </c>
      <c r="AJ4411" s="5" t="s">
        <v>3579</v>
      </c>
      <c r="AK4411" s="5" t="s">
        <v>3623</v>
      </c>
    </row>
    <row r="4412" spans="35:37">
      <c r="AI4412" s="468">
        <v>46784</v>
      </c>
      <c r="AJ4412" s="5" t="s">
        <v>3624</v>
      </c>
      <c r="AK4412" s="5" t="s">
        <v>3625</v>
      </c>
    </row>
    <row r="4413" spans="35:37">
      <c r="AI4413" s="468">
        <v>46785</v>
      </c>
      <c r="AJ4413" s="5" t="s">
        <v>3626</v>
      </c>
      <c r="AK4413" s="5" t="s">
        <v>3627</v>
      </c>
    </row>
    <row r="4414" spans="35:37">
      <c r="AI4414" s="468">
        <v>46786</v>
      </c>
      <c r="AJ4414" s="5" t="s">
        <v>3628</v>
      </c>
      <c r="AK4414" s="5" t="s">
        <v>3618</v>
      </c>
    </row>
    <row r="4415" spans="35:37">
      <c r="AI4415" s="468">
        <v>46787</v>
      </c>
      <c r="AJ4415" s="5" t="s">
        <v>3617</v>
      </c>
      <c r="AK4415" s="5" t="s">
        <v>3620</v>
      </c>
    </row>
    <row r="4416" spans="35:37">
      <c r="AI4416" s="468">
        <v>46788</v>
      </c>
      <c r="AJ4416" s="5" t="s">
        <v>3619</v>
      </c>
      <c r="AK4416" s="5" t="s">
        <v>3622</v>
      </c>
    </row>
    <row r="4417" spans="35:37">
      <c r="AI4417" s="468">
        <v>46789</v>
      </c>
      <c r="AJ4417" s="5" t="s">
        <v>3621</v>
      </c>
      <c r="AK4417" s="5" t="s">
        <v>3623</v>
      </c>
    </row>
    <row r="4418" spans="35:37">
      <c r="AI4418" s="468">
        <v>46790</v>
      </c>
      <c r="AJ4418" s="5" t="s">
        <v>3579</v>
      </c>
      <c r="AK4418" s="5" t="s">
        <v>3625</v>
      </c>
    </row>
    <row r="4419" spans="35:37">
      <c r="AI4419" s="468">
        <v>46791</v>
      </c>
      <c r="AJ4419" s="5" t="s">
        <v>3624</v>
      </c>
      <c r="AK4419" s="5" t="s">
        <v>3627</v>
      </c>
    </row>
    <row r="4420" spans="35:37">
      <c r="AI4420" s="468">
        <v>46792</v>
      </c>
      <c r="AJ4420" s="5" t="s">
        <v>3626</v>
      </c>
      <c r="AK4420" s="5" t="s">
        <v>3618</v>
      </c>
    </row>
    <row r="4421" spans="35:37">
      <c r="AI4421" s="468">
        <v>46793</v>
      </c>
      <c r="AJ4421" s="5" t="s">
        <v>3628</v>
      </c>
      <c r="AK4421" s="5" t="s">
        <v>3620</v>
      </c>
    </row>
    <row r="4422" spans="35:37">
      <c r="AI4422" s="468">
        <v>46794</v>
      </c>
      <c r="AJ4422" s="5" t="s">
        <v>3617</v>
      </c>
      <c r="AK4422" s="5" t="s">
        <v>3622</v>
      </c>
    </row>
    <row r="4423" spans="35:37">
      <c r="AI4423" s="468">
        <v>46795</v>
      </c>
      <c r="AJ4423" s="5" t="s">
        <v>3619</v>
      </c>
      <c r="AK4423" s="5" t="s">
        <v>3623</v>
      </c>
    </row>
    <row r="4424" spans="35:37">
      <c r="AI4424" s="468">
        <v>46796</v>
      </c>
      <c r="AJ4424" s="5" t="s">
        <v>3621</v>
      </c>
      <c r="AK4424" s="5" t="s">
        <v>3625</v>
      </c>
    </row>
    <row r="4425" spans="35:37">
      <c r="AI4425" s="468">
        <v>46797</v>
      </c>
      <c r="AJ4425" s="5" t="s">
        <v>3579</v>
      </c>
      <c r="AK4425" s="5" t="s">
        <v>3627</v>
      </c>
    </row>
    <row r="4426" spans="35:37">
      <c r="AI4426" s="468">
        <v>46798</v>
      </c>
      <c r="AJ4426" s="5" t="s">
        <v>3624</v>
      </c>
      <c r="AK4426" s="5" t="s">
        <v>3618</v>
      </c>
    </row>
    <row r="4427" spans="35:37">
      <c r="AI4427" s="468">
        <v>46799</v>
      </c>
      <c r="AJ4427" s="5" t="s">
        <v>3626</v>
      </c>
      <c r="AK4427" s="5" t="s">
        <v>3620</v>
      </c>
    </row>
    <row r="4428" spans="35:37">
      <c r="AI4428" s="468">
        <v>46800</v>
      </c>
      <c r="AJ4428" s="5" t="s">
        <v>3628</v>
      </c>
      <c r="AK4428" s="5" t="s">
        <v>3622</v>
      </c>
    </row>
    <row r="4429" spans="35:37">
      <c r="AI4429" s="468">
        <v>46801</v>
      </c>
      <c r="AJ4429" s="5" t="s">
        <v>3617</v>
      </c>
      <c r="AK4429" s="5" t="s">
        <v>3623</v>
      </c>
    </row>
    <row r="4430" spans="35:37">
      <c r="AI4430" s="468">
        <v>46802</v>
      </c>
      <c r="AJ4430" s="5" t="s">
        <v>3619</v>
      </c>
      <c r="AK4430" s="5" t="s">
        <v>3625</v>
      </c>
    </row>
    <row r="4431" spans="35:37">
      <c r="AI4431" s="468">
        <v>46803</v>
      </c>
      <c r="AJ4431" s="5" t="s">
        <v>3621</v>
      </c>
      <c r="AK4431" s="5" t="s">
        <v>3627</v>
      </c>
    </row>
    <row r="4432" spans="35:37">
      <c r="AI4432" s="468">
        <v>46804</v>
      </c>
      <c r="AJ4432" s="5" t="s">
        <v>3579</v>
      </c>
      <c r="AK4432" s="5" t="s">
        <v>3618</v>
      </c>
    </row>
    <row r="4433" spans="35:37">
      <c r="AI4433" s="468">
        <v>46805</v>
      </c>
      <c r="AJ4433" s="5" t="s">
        <v>3624</v>
      </c>
      <c r="AK4433" s="5" t="s">
        <v>3620</v>
      </c>
    </row>
    <row r="4434" spans="35:37">
      <c r="AI4434" s="468">
        <v>46806</v>
      </c>
      <c r="AJ4434" s="5" t="s">
        <v>3626</v>
      </c>
      <c r="AK4434" s="5" t="s">
        <v>3622</v>
      </c>
    </row>
    <row r="4435" spans="35:37">
      <c r="AI4435" s="468">
        <v>46807</v>
      </c>
      <c r="AJ4435" s="5" t="s">
        <v>3628</v>
      </c>
      <c r="AK4435" s="5" t="s">
        <v>3623</v>
      </c>
    </row>
    <row r="4436" spans="35:37">
      <c r="AI4436" s="468">
        <v>46808</v>
      </c>
      <c r="AJ4436" s="5" t="s">
        <v>3617</v>
      </c>
      <c r="AK4436" s="5" t="s">
        <v>3618</v>
      </c>
    </row>
    <row r="4437" spans="35:37">
      <c r="AI4437" s="468">
        <v>46809</v>
      </c>
      <c r="AJ4437" s="5" t="s">
        <v>3619</v>
      </c>
      <c r="AK4437" s="5" t="s">
        <v>3620</v>
      </c>
    </row>
    <row r="4438" spans="35:37">
      <c r="AI4438" s="468">
        <v>46810</v>
      </c>
      <c r="AJ4438" s="5" t="s">
        <v>3621</v>
      </c>
      <c r="AK4438" s="5" t="s">
        <v>3622</v>
      </c>
    </row>
    <row r="4439" spans="35:37">
      <c r="AI4439" s="468">
        <v>46811</v>
      </c>
      <c r="AJ4439" s="5" t="s">
        <v>3579</v>
      </c>
      <c r="AK4439" s="5" t="s">
        <v>3623</v>
      </c>
    </row>
    <row r="4440" spans="35:37">
      <c r="AI4440" s="468">
        <v>46812</v>
      </c>
      <c r="AJ4440" s="5" t="s">
        <v>3624</v>
      </c>
      <c r="AK4440" s="5" t="s">
        <v>3625</v>
      </c>
    </row>
    <row r="4441" spans="35:37">
      <c r="AI4441" s="468">
        <v>46813</v>
      </c>
      <c r="AJ4441" s="5" t="s">
        <v>3626</v>
      </c>
      <c r="AK4441" s="5" t="s">
        <v>3627</v>
      </c>
    </row>
    <row r="4442" spans="35:37">
      <c r="AI4442" s="468">
        <v>46814</v>
      </c>
      <c r="AJ4442" s="5" t="s">
        <v>3628</v>
      </c>
      <c r="AK4442" s="5" t="s">
        <v>3618</v>
      </c>
    </row>
    <row r="4443" spans="35:37">
      <c r="AI4443" s="468">
        <v>46815</v>
      </c>
      <c r="AJ4443" s="5" t="s">
        <v>3617</v>
      </c>
      <c r="AK4443" s="5" t="s">
        <v>3620</v>
      </c>
    </row>
    <row r="4444" spans="35:37">
      <c r="AI4444" s="468">
        <v>46816</v>
      </c>
      <c r="AJ4444" s="5" t="s">
        <v>3619</v>
      </c>
      <c r="AK4444" s="5" t="s">
        <v>3622</v>
      </c>
    </row>
    <row r="4445" spans="35:37">
      <c r="AI4445" s="468">
        <v>46817</v>
      </c>
      <c r="AJ4445" s="5" t="s">
        <v>3621</v>
      </c>
      <c r="AK4445" s="5" t="s">
        <v>3623</v>
      </c>
    </row>
    <row r="4446" spans="35:37">
      <c r="AI4446" s="468">
        <v>46818</v>
      </c>
      <c r="AJ4446" s="5" t="s">
        <v>3579</v>
      </c>
      <c r="AK4446" s="5" t="s">
        <v>3625</v>
      </c>
    </row>
    <row r="4447" spans="35:37">
      <c r="AI4447" s="468">
        <v>46819</v>
      </c>
      <c r="AJ4447" s="5" t="s">
        <v>3624</v>
      </c>
      <c r="AK4447" s="5" t="s">
        <v>3627</v>
      </c>
    </row>
    <row r="4448" spans="35:37">
      <c r="AI4448" s="468">
        <v>46820</v>
      </c>
      <c r="AJ4448" s="5" t="s">
        <v>3626</v>
      </c>
      <c r="AK4448" s="5" t="s">
        <v>3618</v>
      </c>
    </row>
    <row r="4449" spans="35:37">
      <c r="AI4449" s="468">
        <v>46821</v>
      </c>
      <c r="AJ4449" s="5" t="s">
        <v>3628</v>
      </c>
      <c r="AK4449" s="5" t="s">
        <v>3620</v>
      </c>
    </row>
    <row r="4450" spans="35:37">
      <c r="AI4450" s="468">
        <v>46822</v>
      </c>
      <c r="AJ4450" s="5" t="s">
        <v>3617</v>
      </c>
      <c r="AK4450" s="5" t="s">
        <v>3622</v>
      </c>
    </row>
    <row r="4451" spans="35:37">
      <c r="AI4451" s="468">
        <v>46823</v>
      </c>
      <c r="AJ4451" s="5" t="s">
        <v>3619</v>
      </c>
      <c r="AK4451" s="5" t="s">
        <v>3623</v>
      </c>
    </row>
    <row r="4452" spans="35:37">
      <c r="AI4452" s="468">
        <v>46824</v>
      </c>
      <c r="AJ4452" s="5" t="s">
        <v>3621</v>
      </c>
      <c r="AK4452" s="5" t="s">
        <v>3625</v>
      </c>
    </row>
    <row r="4453" spans="35:37">
      <c r="AI4453" s="468">
        <v>46825</v>
      </c>
      <c r="AJ4453" s="5" t="s">
        <v>3579</v>
      </c>
      <c r="AK4453" s="5" t="s">
        <v>3627</v>
      </c>
    </row>
    <row r="4454" spans="35:37">
      <c r="AI4454" s="468">
        <v>46826</v>
      </c>
      <c r="AJ4454" s="5" t="s">
        <v>3624</v>
      </c>
      <c r="AK4454" s="5" t="s">
        <v>3618</v>
      </c>
    </row>
    <row r="4455" spans="35:37">
      <c r="AI4455" s="468">
        <v>46827</v>
      </c>
      <c r="AJ4455" s="5" t="s">
        <v>3626</v>
      </c>
      <c r="AK4455" s="5" t="s">
        <v>3620</v>
      </c>
    </row>
    <row r="4456" spans="35:37">
      <c r="AI4456" s="468">
        <v>46828</v>
      </c>
      <c r="AJ4456" s="5" t="s">
        <v>3628</v>
      </c>
      <c r="AK4456" s="5" t="s">
        <v>3622</v>
      </c>
    </row>
    <row r="4457" spans="35:37">
      <c r="AI4457" s="468">
        <v>46829</v>
      </c>
      <c r="AJ4457" s="5" t="s">
        <v>3617</v>
      </c>
      <c r="AK4457" s="5" t="s">
        <v>3623</v>
      </c>
    </row>
    <row r="4458" spans="35:37">
      <c r="AI4458" s="468">
        <v>46830</v>
      </c>
      <c r="AJ4458" s="5" t="s">
        <v>3619</v>
      </c>
      <c r="AK4458" s="5" t="s">
        <v>3625</v>
      </c>
    </row>
    <row r="4459" spans="35:37">
      <c r="AI4459" s="468">
        <v>46831</v>
      </c>
      <c r="AJ4459" s="5" t="s">
        <v>3621</v>
      </c>
      <c r="AK4459" s="5" t="s">
        <v>3627</v>
      </c>
    </row>
    <row r="4460" spans="35:37">
      <c r="AI4460" s="468">
        <v>46832</v>
      </c>
      <c r="AJ4460" s="5" t="s">
        <v>3579</v>
      </c>
      <c r="AK4460" s="5" t="s">
        <v>3618</v>
      </c>
    </row>
    <row r="4461" spans="35:37">
      <c r="AI4461" s="468">
        <v>46833</v>
      </c>
      <c r="AJ4461" s="5" t="s">
        <v>3624</v>
      </c>
      <c r="AK4461" s="5" t="s">
        <v>3620</v>
      </c>
    </row>
    <row r="4462" spans="35:37">
      <c r="AI4462" s="468">
        <v>46834</v>
      </c>
      <c r="AJ4462" s="5" t="s">
        <v>3626</v>
      </c>
      <c r="AK4462" s="5" t="s">
        <v>3622</v>
      </c>
    </row>
    <row r="4463" spans="35:37">
      <c r="AI4463" s="468">
        <v>46835</v>
      </c>
      <c r="AJ4463" s="5" t="s">
        <v>3628</v>
      </c>
      <c r="AK4463" s="5" t="s">
        <v>3623</v>
      </c>
    </row>
    <row r="4464" spans="35:37">
      <c r="AI4464" s="468">
        <v>46836</v>
      </c>
      <c r="AJ4464" s="5" t="s">
        <v>3617</v>
      </c>
      <c r="AK4464" s="5" t="s">
        <v>3625</v>
      </c>
    </row>
    <row r="4465" spans="35:37">
      <c r="AI4465" s="468">
        <v>46837</v>
      </c>
      <c r="AJ4465" s="5" t="s">
        <v>3619</v>
      </c>
      <c r="AK4465" s="5" t="s">
        <v>3627</v>
      </c>
    </row>
    <row r="4466" spans="35:37">
      <c r="AI4466" s="468">
        <v>46838</v>
      </c>
      <c r="AJ4466" s="5" t="s">
        <v>3621</v>
      </c>
      <c r="AK4466" s="5" t="s">
        <v>3620</v>
      </c>
    </row>
    <row r="4467" spans="35:37">
      <c r="AI4467" s="468">
        <v>46839</v>
      </c>
      <c r="AJ4467" s="5" t="s">
        <v>3579</v>
      </c>
      <c r="AK4467" s="5" t="s">
        <v>3622</v>
      </c>
    </row>
    <row r="4468" spans="35:37">
      <c r="AI4468" s="468">
        <v>46840</v>
      </c>
      <c r="AJ4468" s="5" t="s">
        <v>3624</v>
      </c>
      <c r="AK4468" s="5" t="s">
        <v>3623</v>
      </c>
    </row>
    <row r="4469" spans="35:37">
      <c r="AI4469" s="468">
        <v>46841</v>
      </c>
      <c r="AJ4469" s="5" t="s">
        <v>3626</v>
      </c>
      <c r="AK4469" s="5" t="s">
        <v>3625</v>
      </c>
    </row>
    <row r="4470" spans="35:37">
      <c r="AI4470" s="468">
        <v>46842</v>
      </c>
      <c r="AJ4470" s="5" t="s">
        <v>3628</v>
      </c>
      <c r="AK4470" s="5" t="s">
        <v>3627</v>
      </c>
    </row>
    <row r="4471" spans="35:37">
      <c r="AI4471" s="468">
        <v>46843</v>
      </c>
      <c r="AJ4471" s="5" t="s">
        <v>3617</v>
      </c>
      <c r="AK4471" s="5" t="s">
        <v>3618</v>
      </c>
    </row>
    <row r="4472" spans="35:37">
      <c r="AI4472" s="468">
        <v>46844</v>
      </c>
      <c r="AJ4472" s="5" t="s">
        <v>3619</v>
      </c>
      <c r="AK4472" s="5" t="s">
        <v>3620</v>
      </c>
    </row>
    <row r="4473" spans="35:37">
      <c r="AI4473" s="468">
        <v>46845</v>
      </c>
      <c r="AJ4473" s="5" t="s">
        <v>3621</v>
      </c>
      <c r="AK4473" s="5" t="s">
        <v>3622</v>
      </c>
    </row>
    <row r="4474" spans="35:37">
      <c r="AI4474" s="468">
        <v>46846</v>
      </c>
      <c r="AJ4474" s="5" t="s">
        <v>3579</v>
      </c>
      <c r="AK4474" s="5" t="s">
        <v>3623</v>
      </c>
    </row>
    <row r="4475" spans="35:37">
      <c r="AI4475" s="468">
        <v>46847</v>
      </c>
      <c r="AJ4475" s="5" t="s">
        <v>3624</v>
      </c>
      <c r="AK4475" s="5" t="s">
        <v>3625</v>
      </c>
    </row>
    <row r="4476" spans="35:37">
      <c r="AI4476" s="468">
        <v>46848</v>
      </c>
      <c r="AJ4476" s="5" t="s">
        <v>3626</v>
      </c>
      <c r="AK4476" s="5" t="s">
        <v>3627</v>
      </c>
    </row>
    <row r="4477" spans="35:37">
      <c r="AI4477" s="468">
        <v>46849</v>
      </c>
      <c r="AJ4477" s="5" t="s">
        <v>3628</v>
      </c>
      <c r="AK4477" s="5" t="s">
        <v>3618</v>
      </c>
    </row>
    <row r="4478" spans="35:37">
      <c r="AI4478" s="468">
        <v>46850</v>
      </c>
      <c r="AJ4478" s="5" t="s">
        <v>3617</v>
      </c>
      <c r="AK4478" s="5" t="s">
        <v>3620</v>
      </c>
    </row>
    <row r="4479" spans="35:37">
      <c r="AI4479" s="468">
        <v>46851</v>
      </c>
      <c r="AJ4479" s="5" t="s">
        <v>3619</v>
      </c>
      <c r="AK4479" s="5" t="s">
        <v>3622</v>
      </c>
    </row>
    <row r="4480" spans="35:37">
      <c r="AI4480" s="468">
        <v>46852</v>
      </c>
      <c r="AJ4480" s="5" t="s">
        <v>3621</v>
      </c>
      <c r="AK4480" s="5" t="s">
        <v>3623</v>
      </c>
    </row>
    <row r="4481" spans="35:37">
      <c r="AI4481" s="468">
        <v>46853</v>
      </c>
      <c r="AJ4481" s="5" t="s">
        <v>3579</v>
      </c>
      <c r="AK4481" s="5" t="s">
        <v>3625</v>
      </c>
    </row>
    <row r="4482" spans="35:37">
      <c r="AI4482" s="468">
        <v>46854</v>
      </c>
      <c r="AJ4482" s="5" t="s">
        <v>3624</v>
      </c>
      <c r="AK4482" s="5" t="s">
        <v>3627</v>
      </c>
    </row>
    <row r="4483" spans="35:37">
      <c r="AI4483" s="468">
        <v>46855</v>
      </c>
      <c r="AJ4483" s="5" t="s">
        <v>3626</v>
      </c>
      <c r="AK4483" s="5" t="s">
        <v>3618</v>
      </c>
    </row>
    <row r="4484" spans="35:37">
      <c r="AI4484" s="468">
        <v>46856</v>
      </c>
      <c r="AJ4484" s="5" t="s">
        <v>3628</v>
      </c>
      <c r="AK4484" s="5" t="s">
        <v>3620</v>
      </c>
    </row>
    <row r="4485" spans="35:37">
      <c r="AI4485" s="468">
        <v>46857</v>
      </c>
      <c r="AJ4485" s="5" t="s">
        <v>3617</v>
      </c>
      <c r="AK4485" s="5" t="s">
        <v>3622</v>
      </c>
    </row>
    <row r="4486" spans="35:37">
      <c r="AI4486" s="468">
        <v>46858</v>
      </c>
      <c r="AJ4486" s="5" t="s">
        <v>3619</v>
      </c>
      <c r="AK4486" s="5" t="s">
        <v>3623</v>
      </c>
    </row>
    <row r="4487" spans="35:37">
      <c r="AI4487" s="468">
        <v>46859</v>
      </c>
      <c r="AJ4487" s="5" t="s">
        <v>3621</v>
      </c>
      <c r="AK4487" s="5" t="s">
        <v>3625</v>
      </c>
    </row>
    <row r="4488" spans="35:37">
      <c r="AI4488" s="468">
        <v>46860</v>
      </c>
      <c r="AJ4488" s="5" t="s">
        <v>3579</v>
      </c>
      <c r="AK4488" s="5" t="s">
        <v>3627</v>
      </c>
    </row>
    <row r="4489" spans="35:37">
      <c r="AI4489" s="468">
        <v>46861</v>
      </c>
      <c r="AJ4489" s="5" t="s">
        <v>3624</v>
      </c>
      <c r="AK4489" s="5" t="s">
        <v>3618</v>
      </c>
    </row>
    <row r="4490" spans="35:37">
      <c r="AI4490" s="468">
        <v>46862</v>
      </c>
      <c r="AJ4490" s="5" t="s">
        <v>3626</v>
      </c>
      <c r="AK4490" s="5" t="s">
        <v>3620</v>
      </c>
    </row>
    <row r="4491" spans="35:37">
      <c r="AI4491" s="468">
        <v>46863</v>
      </c>
      <c r="AJ4491" s="5" t="s">
        <v>3628</v>
      </c>
      <c r="AK4491" s="5" t="s">
        <v>3622</v>
      </c>
    </row>
    <row r="4492" spans="35:37">
      <c r="AI4492" s="468">
        <v>46864</v>
      </c>
      <c r="AJ4492" s="5" t="s">
        <v>3617</v>
      </c>
      <c r="AK4492" s="5" t="s">
        <v>3623</v>
      </c>
    </row>
    <row r="4493" spans="35:37">
      <c r="AI4493" s="468">
        <v>46865</v>
      </c>
      <c r="AJ4493" s="5" t="s">
        <v>3619</v>
      </c>
      <c r="AK4493" s="5" t="s">
        <v>3625</v>
      </c>
    </row>
    <row r="4494" spans="35:37">
      <c r="AI4494" s="468">
        <v>46866</v>
      </c>
      <c r="AJ4494" s="5" t="s">
        <v>3621</v>
      </c>
      <c r="AK4494" s="5" t="s">
        <v>3627</v>
      </c>
    </row>
    <row r="4495" spans="35:37">
      <c r="AI4495" s="468">
        <v>46867</v>
      </c>
      <c r="AJ4495" s="5" t="s">
        <v>3579</v>
      </c>
      <c r="AK4495" s="5" t="s">
        <v>3618</v>
      </c>
    </row>
    <row r="4496" spans="35:37">
      <c r="AI4496" s="468">
        <v>46868</v>
      </c>
      <c r="AJ4496" s="5" t="s">
        <v>3624</v>
      </c>
      <c r="AK4496" s="5" t="s">
        <v>3622</v>
      </c>
    </row>
    <row r="4497" spans="35:37">
      <c r="AI4497" s="468">
        <v>46869</v>
      </c>
      <c r="AJ4497" s="5" t="s">
        <v>3626</v>
      </c>
      <c r="AK4497" s="5" t="s">
        <v>3623</v>
      </c>
    </row>
    <row r="4498" spans="35:37">
      <c r="AI4498" s="468">
        <v>46870</v>
      </c>
      <c r="AJ4498" s="5" t="s">
        <v>3628</v>
      </c>
      <c r="AK4498" s="5" t="s">
        <v>3625</v>
      </c>
    </row>
    <row r="4499" spans="35:37">
      <c r="AI4499" s="468">
        <v>46871</v>
      </c>
      <c r="AJ4499" s="5" t="s">
        <v>3617</v>
      </c>
      <c r="AK4499" s="5" t="s">
        <v>3627</v>
      </c>
    </row>
    <row r="4500" spans="35:37">
      <c r="AI4500" s="468">
        <v>46872</v>
      </c>
      <c r="AJ4500" s="5" t="s">
        <v>3619</v>
      </c>
      <c r="AK4500" s="5" t="s">
        <v>3618</v>
      </c>
    </row>
    <row r="4501" spans="35:37">
      <c r="AI4501" s="468">
        <v>46873</v>
      </c>
      <c r="AJ4501" s="5" t="s">
        <v>3621</v>
      </c>
      <c r="AK4501" s="5" t="s">
        <v>3620</v>
      </c>
    </row>
    <row r="4502" spans="35:37">
      <c r="AI4502" s="468">
        <v>46874</v>
      </c>
      <c r="AJ4502" s="5" t="s">
        <v>3579</v>
      </c>
      <c r="AK4502" s="5" t="s">
        <v>3622</v>
      </c>
    </row>
    <row r="4503" spans="35:37">
      <c r="AI4503" s="468">
        <v>46875</v>
      </c>
      <c r="AJ4503" s="5" t="s">
        <v>3624</v>
      </c>
      <c r="AK4503" s="5" t="s">
        <v>3623</v>
      </c>
    </row>
    <row r="4504" spans="35:37">
      <c r="AI4504" s="468">
        <v>46876</v>
      </c>
      <c r="AJ4504" s="5" t="s">
        <v>3626</v>
      </c>
      <c r="AK4504" s="5" t="s">
        <v>3625</v>
      </c>
    </row>
    <row r="4505" spans="35:37">
      <c r="AI4505" s="468">
        <v>46877</v>
      </c>
      <c r="AJ4505" s="5" t="s">
        <v>3628</v>
      </c>
      <c r="AK4505" s="5" t="s">
        <v>3627</v>
      </c>
    </row>
    <row r="4506" spans="35:37">
      <c r="AI4506" s="468">
        <v>46878</v>
      </c>
      <c r="AJ4506" s="5" t="s">
        <v>3617</v>
      </c>
      <c r="AK4506" s="5" t="s">
        <v>3618</v>
      </c>
    </row>
    <row r="4507" spans="35:37">
      <c r="AI4507" s="468">
        <v>46879</v>
      </c>
      <c r="AJ4507" s="5" t="s">
        <v>3619</v>
      </c>
      <c r="AK4507" s="5" t="s">
        <v>3620</v>
      </c>
    </row>
    <row r="4508" spans="35:37">
      <c r="AI4508" s="468">
        <v>46880</v>
      </c>
      <c r="AJ4508" s="5" t="s">
        <v>3621</v>
      </c>
      <c r="AK4508" s="5" t="s">
        <v>3622</v>
      </c>
    </row>
    <row r="4509" spans="35:37">
      <c r="AI4509" s="468">
        <v>46881</v>
      </c>
      <c r="AJ4509" s="5" t="s">
        <v>3579</v>
      </c>
      <c r="AK4509" s="5" t="s">
        <v>3623</v>
      </c>
    </row>
    <row r="4510" spans="35:37">
      <c r="AI4510" s="468">
        <v>46882</v>
      </c>
      <c r="AJ4510" s="5" t="s">
        <v>3624</v>
      </c>
      <c r="AK4510" s="5" t="s">
        <v>3625</v>
      </c>
    </row>
    <row r="4511" spans="35:37">
      <c r="AI4511" s="468">
        <v>46883</v>
      </c>
      <c r="AJ4511" s="5" t="s">
        <v>3626</v>
      </c>
      <c r="AK4511" s="5" t="s">
        <v>3627</v>
      </c>
    </row>
    <row r="4512" spans="35:37">
      <c r="AI4512" s="468">
        <v>46884</v>
      </c>
      <c r="AJ4512" s="5" t="s">
        <v>3628</v>
      </c>
      <c r="AK4512" s="5" t="s">
        <v>3618</v>
      </c>
    </row>
    <row r="4513" spans="35:37">
      <c r="AI4513" s="468">
        <v>46885</v>
      </c>
      <c r="AJ4513" s="5" t="s">
        <v>3617</v>
      </c>
      <c r="AK4513" s="5" t="s">
        <v>3620</v>
      </c>
    </row>
    <row r="4514" spans="35:37">
      <c r="AI4514" s="468">
        <v>46886</v>
      </c>
      <c r="AJ4514" s="5" t="s">
        <v>3619</v>
      </c>
      <c r="AK4514" s="5" t="s">
        <v>3622</v>
      </c>
    </row>
    <row r="4515" spans="35:37">
      <c r="AI4515" s="468">
        <v>46887</v>
      </c>
      <c r="AJ4515" s="5" t="s">
        <v>3621</v>
      </c>
      <c r="AK4515" s="5" t="s">
        <v>3623</v>
      </c>
    </row>
    <row r="4516" spans="35:37">
      <c r="AI4516" s="468">
        <v>46888</v>
      </c>
      <c r="AJ4516" s="5" t="s">
        <v>3579</v>
      </c>
      <c r="AK4516" s="5" t="s">
        <v>3625</v>
      </c>
    </row>
    <row r="4517" spans="35:37">
      <c r="AI4517" s="468">
        <v>46889</v>
      </c>
      <c r="AJ4517" s="5" t="s">
        <v>3624</v>
      </c>
      <c r="AK4517" s="5" t="s">
        <v>3627</v>
      </c>
    </row>
    <row r="4518" spans="35:37">
      <c r="AI4518" s="468">
        <v>46890</v>
      </c>
      <c r="AJ4518" s="5" t="s">
        <v>3626</v>
      </c>
      <c r="AK4518" s="5" t="s">
        <v>3618</v>
      </c>
    </row>
    <row r="4519" spans="35:37">
      <c r="AI4519" s="468">
        <v>46891</v>
      </c>
      <c r="AJ4519" s="5" t="s">
        <v>3628</v>
      </c>
      <c r="AK4519" s="5" t="s">
        <v>3620</v>
      </c>
    </row>
    <row r="4520" spans="35:37">
      <c r="AI4520" s="468">
        <v>46892</v>
      </c>
      <c r="AJ4520" s="5" t="s">
        <v>3617</v>
      </c>
      <c r="AK4520" s="5" t="s">
        <v>3622</v>
      </c>
    </row>
    <row r="4521" spans="35:37">
      <c r="AI4521" s="468">
        <v>46893</v>
      </c>
      <c r="AJ4521" s="5" t="s">
        <v>3619</v>
      </c>
      <c r="AK4521" s="5" t="s">
        <v>3623</v>
      </c>
    </row>
    <row r="4522" spans="35:37">
      <c r="AI4522" s="468">
        <v>46894</v>
      </c>
      <c r="AJ4522" s="5" t="s">
        <v>3621</v>
      </c>
      <c r="AK4522" s="5" t="s">
        <v>3625</v>
      </c>
    </row>
    <row r="4523" spans="35:37">
      <c r="AI4523" s="468">
        <v>46895</v>
      </c>
      <c r="AJ4523" s="5" t="s">
        <v>3579</v>
      </c>
      <c r="AK4523" s="5" t="s">
        <v>3627</v>
      </c>
    </row>
    <row r="4524" spans="35:37">
      <c r="AI4524" s="468">
        <v>46896</v>
      </c>
      <c r="AJ4524" s="5" t="s">
        <v>3624</v>
      </c>
      <c r="AK4524" s="5" t="s">
        <v>3618</v>
      </c>
    </row>
    <row r="4525" spans="35:37">
      <c r="AI4525" s="468">
        <v>46897</v>
      </c>
      <c r="AJ4525" s="5" t="s">
        <v>3626</v>
      </c>
      <c r="AK4525" s="5" t="s">
        <v>3623</v>
      </c>
    </row>
    <row r="4526" spans="35:37">
      <c r="AI4526" s="468">
        <v>46898</v>
      </c>
      <c r="AJ4526" s="5" t="s">
        <v>3628</v>
      </c>
      <c r="AK4526" s="5" t="s">
        <v>3625</v>
      </c>
    </row>
    <row r="4527" spans="35:37">
      <c r="AI4527" s="468">
        <v>46899</v>
      </c>
      <c r="AJ4527" s="5" t="s">
        <v>3617</v>
      </c>
      <c r="AK4527" s="5" t="s">
        <v>3627</v>
      </c>
    </row>
    <row r="4528" spans="35:37">
      <c r="AI4528" s="468">
        <v>46900</v>
      </c>
      <c r="AJ4528" s="5" t="s">
        <v>3619</v>
      </c>
      <c r="AK4528" s="5" t="s">
        <v>3618</v>
      </c>
    </row>
    <row r="4529" spans="35:37">
      <c r="AI4529" s="468">
        <v>46901</v>
      </c>
      <c r="AJ4529" s="5" t="s">
        <v>3621</v>
      </c>
      <c r="AK4529" s="5" t="s">
        <v>3620</v>
      </c>
    </row>
    <row r="4530" spans="35:37">
      <c r="AI4530" s="468">
        <v>46902</v>
      </c>
      <c r="AJ4530" s="5" t="s">
        <v>3579</v>
      </c>
      <c r="AK4530" s="5" t="s">
        <v>3622</v>
      </c>
    </row>
    <row r="4531" spans="35:37">
      <c r="AI4531" s="468">
        <v>46903</v>
      </c>
      <c r="AJ4531" s="5" t="s">
        <v>3624</v>
      </c>
      <c r="AK4531" s="5" t="s">
        <v>3623</v>
      </c>
    </row>
    <row r="4532" spans="35:37">
      <c r="AI4532" s="468">
        <v>46904</v>
      </c>
      <c r="AJ4532" s="5" t="s">
        <v>3626</v>
      </c>
      <c r="AK4532" s="5" t="s">
        <v>3625</v>
      </c>
    </row>
    <row r="4533" spans="35:37">
      <c r="AI4533" s="468">
        <v>46905</v>
      </c>
      <c r="AJ4533" s="5" t="s">
        <v>3628</v>
      </c>
      <c r="AK4533" s="5" t="s">
        <v>3627</v>
      </c>
    </row>
    <row r="4534" spans="35:37">
      <c r="AI4534" s="468">
        <v>46906</v>
      </c>
      <c r="AJ4534" s="5" t="s">
        <v>3617</v>
      </c>
      <c r="AK4534" s="5" t="s">
        <v>3618</v>
      </c>
    </row>
    <row r="4535" spans="35:37">
      <c r="AI4535" s="468">
        <v>46907</v>
      </c>
      <c r="AJ4535" s="5" t="s">
        <v>3619</v>
      </c>
      <c r="AK4535" s="5" t="s">
        <v>3620</v>
      </c>
    </row>
    <row r="4536" spans="35:37">
      <c r="AI4536" s="468">
        <v>46908</v>
      </c>
      <c r="AJ4536" s="5" t="s">
        <v>3621</v>
      </c>
      <c r="AK4536" s="5" t="s">
        <v>3622</v>
      </c>
    </row>
    <row r="4537" spans="35:37">
      <c r="AI4537" s="468">
        <v>46909</v>
      </c>
      <c r="AJ4537" s="5" t="s">
        <v>3579</v>
      </c>
      <c r="AK4537" s="5" t="s">
        <v>3623</v>
      </c>
    </row>
    <row r="4538" spans="35:37">
      <c r="AI4538" s="468">
        <v>46910</v>
      </c>
      <c r="AJ4538" s="5" t="s">
        <v>3624</v>
      </c>
      <c r="AK4538" s="5" t="s">
        <v>3625</v>
      </c>
    </row>
    <row r="4539" spans="35:37">
      <c r="AI4539" s="468">
        <v>46911</v>
      </c>
      <c r="AJ4539" s="5" t="s">
        <v>3626</v>
      </c>
      <c r="AK4539" s="5" t="s">
        <v>3627</v>
      </c>
    </row>
    <row r="4540" spans="35:37">
      <c r="AI4540" s="468">
        <v>46912</v>
      </c>
      <c r="AJ4540" s="5" t="s">
        <v>3628</v>
      </c>
      <c r="AK4540" s="5" t="s">
        <v>3618</v>
      </c>
    </row>
    <row r="4541" spans="35:37">
      <c r="AI4541" s="468">
        <v>46913</v>
      </c>
      <c r="AJ4541" s="5" t="s">
        <v>3617</v>
      </c>
      <c r="AK4541" s="5" t="s">
        <v>3620</v>
      </c>
    </row>
    <row r="4542" spans="35:37">
      <c r="AI4542" s="468">
        <v>46914</v>
      </c>
      <c r="AJ4542" s="5" t="s">
        <v>3619</v>
      </c>
      <c r="AK4542" s="5" t="s">
        <v>3622</v>
      </c>
    </row>
    <row r="4543" spans="35:37">
      <c r="AI4543" s="468">
        <v>46915</v>
      </c>
      <c r="AJ4543" s="5" t="s">
        <v>3621</v>
      </c>
      <c r="AK4543" s="5" t="s">
        <v>3623</v>
      </c>
    </row>
    <row r="4544" spans="35:37">
      <c r="AI4544" s="468">
        <v>46916</v>
      </c>
      <c r="AJ4544" s="5" t="s">
        <v>3579</v>
      </c>
      <c r="AK4544" s="5" t="s">
        <v>3625</v>
      </c>
    </row>
    <row r="4545" spans="35:37">
      <c r="AI4545" s="468">
        <v>46917</v>
      </c>
      <c r="AJ4545" s="5" t="s">
        <v>3624</v>
      </c>
      <c r="AK4545" s="5" t="s">
        <v>3627</v>
      </c>
    </row>
    <row r="4546" spans="35:37">
      <c r="AI4546" s="468">
        <v>46918</v>
      </c>
      <c r="AJ4546" s="5" t="s">
        <v>3626</v>
      </c>
      <c r="AK4546" s="5" t="s">
        <v>3618</v>
      </c>
    </row>
    <row r="4547" spans="35:37">
      <c r="AI4547" s="468">
        <v>46919</v>
      </c>
      <c r="AJ4547" s="5" t="s">
        <v>3628</v>
      </c>
      <c r="AK4547" s="5" t="s">
        <v>3620</v>
      </c>
    </row>
    <row r="4548" spans="35:37">
      <c r="AI4548" s="468">
        <v>46920</v>
      </c>
      <c r="AJ4548" s="5" t="s">
        <v>3617</v>
      </c>
      <c r="AK4548" s="5" t="s">
        <v>3622</v>
      </c>
    </row>
    <row r="4549" spans="35:37">
      <c r="AI4549" s="468">
        <v>46921</v>
      </c>
      <c r="AJ4549" s="5" t="s">
        <v>3619</v>
      </c>
      <c r="AK4549" s="5" t="s">
        <v>3623</v>
      </c>
    </row>
    <row r="4550" spans="35:37">
      <c r="AI4550" s="468">
        <v>46922</v>
      </c>
      <c r="AJ4550" s="5" t="s">
        <v>3621</v>
      </c>
      <c r="AK4550" s="5" t="s">
        <v>3625</v>
      </c>
    </row>
    <row r="4551" spans="35:37">
      <c r="AI4551" s="468">
        <v>46923</v>
      </c>
      <c r="AJ4551" s="5" t="s">
        <v>3579</v>
      </c>
      <c r="AK4551" s="5" t="s">
        <v>3627</v>
      </c>
    </row>
    <row r="4552" spans="35:37">
      <c r="AI4552" s="468">
        <v>46924</v>
      </c>
      <c r="AJ4552" s="5" t="s">
        <v>3624</v>
      </c>
      <c r="AK4552" s="5" t="s">
        <v>3618</v>
      </c>
    </row>
    <row r="4553" spans="35:37">
      <c r="AI4553" s="468">
        <v>46925</v>
      </c>
      <c r="AJ4553" s="5" t="s">
        <v>3626</v>
      </c>
      <c r="AK4553" s="5" t="s">
        <v>3620</v>
      </c>
    </row>
    <row r="4554" spans="35:37">
      <c r="AI4554" s="468">
        <v>46926</v>
      </c>
      <c r="AJ4554" s="5" t="s">
        <v>3628</v>
      </c>
      <c r="AK4554" s="5" t="s">
        <v>3622</v>
      </c>
    </row>
    <row r="4555" spans="35:37">
      <c r="AI4555" s="468">
        <v>46927</v>
      </c>
      <c r="AJ4555" s="5" t="s">
        <v>3617</v>
      </c>
      <c r="AK4555" s="5" t="s">
        <v>3623</v>
      </c>
    </row>
    <row r="4556" spans="35:37">
      <c r="AI4556" s="468">
        <v>46928</v>
      </c>
      <c r="AJ4556" s="5" t="s">
        <v>3619</v>
      </c>
      <c r="AK4556" s="5" t="s">
        <v>3625</v>
      </c>
    </row>
    <row r="4557" spans="35:37">
      <c r="AI4557" s="468">
        <v>46929</v>
      </c>
      <c r="AJ4557" s="5" t="s">
        <v>3621</v>
      </c>
      <c r="AK4557" s="5" t="s">
        <v>3627</v>
      </c>
    </row>
    <row r="4558" spans="35:37">
      <c r="AI4558" s="468">
        <v>46930</v>
      </c>
      <c r="AJ4558" s="5" t="s">
        <v>3579</v>
      </c>
      <c r="AK4558" s="5" t="s">
        <v>3618</v>
      </c>
    </row>
    <row r="4559" spans="35:37">
      <c r="AI4559" s="468">
        <v>46931</v>
      </c>
      <c r="AJ4559" s="5" t="s">
        <v>3624</v>
      </c>
      <c r="AK4559" s="5" t="s">
        <v>3620</v>
      </c>
    </row>
    <row r="4560" spans="35:37">
      <c r="AI4560" s="468">
        <v>46932</v>
      </c>
      <c r="AJ4560" s="5" t="s">
        <v>3626</v>
      </c>
      <c r="AK4560" s="5" t="s">
        <v>3622</v>
      </c>
    </row>
    <row r="4561" spans="35:37">
      <c r="AI4561" s="468">
        <v>46933</v>
      </c>
      <c r="AJ4561" s="5" t="s">
        <v>3628</v>
      </c>
      <c r="AK4561" s="5" t="s">
        <v>3623</v>
      </c>
    </row>
    <row r="4562" spans="35:37">
      <c r="AI4562" s="468">
        <v>46934</v>
      </c>
      <c r="AJ4562" s="5" t="s">
        <v>3617</v>
      </c>
      <c r="AK4562" s="5" t="s">
        <v>3625</v>
      </c>
    </row>
    <row r="4563" spans="35:37">
      <c r="AI4563" s="468">
        <v>46935</v>
      </c>
      <c r="AJ4563" s="5" t="s">
        <v>3619</v>
      </c>
      <c r="AK4563" s="5" t="s">
        <v>3627</v>
      </c>
    </row>
    <row r="4564" spans="35:37">
      <c r="AI4564" s="468">
        <v>46936</v>
      </c>
      <c r="AJ4564" s="5" t="s">
        <v>3621</v>
      </c>
      <c r="AK4564" s="5" t="s">
        <v>3618</v>
      </c>
    </row>
    <row r="4565" spans="35:37">
      <c r="AI4565" s="468">
        <v>46937</v>
      </c>
      <c r="AJ4565" s="5" t="s">
        <v>3579</v>
      </c>
      <c r="AK4565" s="5" t="s">
        <v>3620</v>
      </c>
    </row>
    <row r="4566" spans="35:37">
      <c r="AI4566" s="468">
        <v>46938</v>
      </c>
      <c r="AJ4566" s="5" t="s">
        <v>3624</v>
      </c>
      <c r="AK4566" s="5" t="s">
        <v>3622</v>
      </c>
    </row>
    <row r="4567" spans="35:37">
      <c r="AI4567" s="468">
        <v>46939</v>
      </c>
      <c r="AJ4567" s="5" t="s">
        <v>3626</v>
      </c>
      <c r="AK4567" s="5" t="s">
        <v>3623</v>
      </c>
    </row>
    <row r="4568" spans="35:37">
      <c r="AI4568" s="468">
        <v>46940</v>
      </c>
      <c r="AJ4568" s="5" t="s">
        <v>3628</v>
      </c>
      <c r="AK4568" s="5" t="s">
        <v>3625</v>
      </c>
    </row>
    <row r="4569" spans="35:37">
      <c r="AI4569" s="468">
        <v>46941</v>
      </c>
      <c r="AJ4569" s="5" t="s">
        <v>3617</v>
      </c>
      <c r="AK4569" s="5" t="s">
        <v>3627</v>
      </c>
    </row>
    <row r="4570" spans="35:37">
      <c r="AI4570" s="468">
        <v>46942</v>
      </c>
      <c r="AJ4570" s="5" t="s">
        <v>3619</v>
      </c>
      <c r="AK4570" s="5" t="s">
        <v>3618</v>
      </c>
    </row>
    <row r="4571" spans="35:37">
      <c r="AI4571" s="468">
        <v>46943</v>
      </c>
      <c r="AJ4571" s="5" t="s">
        <v>3621</v>
      </c>
      <c r="AK4571" s="5" t="s">
        <v>3620</v>
      </c>
    </row>
    <row r="4572" spans="35:37">
      <c r="AI4572" s="468">
        <v>46944</v>
      </c>
      <c r="AJ4572" s="5" t="s">
        <v>3579</v>
      </c>
      <c r="AK4572" s="5" t="s">
        <v>3622</v>
      </c>
    </row>
    <row r="4573" spans="35:37">
      <c r="AI4573" s="468">
        <v>46945</v>
      </c>
      <c r="AJ4573" s="5" t="s">
        <v>3624</v>
      </c>
      <c r="AK4573" s="5" t="s">
        <v>3623</v>
      </c>
    </row>
    <row r="4574" spans="35:37">
      <c r="AI4574" s="468">
        <v>46946</v>
      </c>
      <c r="AJ4574" s="5" t="s">
        <v>3626</v>
      </c>
      <c r="AK4574" s="5" t="s">
        <v>3625</v>
      </c>
    </row>
    <row r="4575" spans="35:37">
      <c r="AI4575" s="468">
        <v>46947</v>
      </c>
      <c r="AJ4575" s="5" t="s">
        <v>3628</v>
      </c>
      <c r="AK4575" s="5" t="s">
        <v>3627</v>
      </c>
    </row>
    <row r="4576" spans="35:37">
      <c r="AI4576" s="468">
        <v>46948</v>
      </c>
      <c r="AJ4576" s="5" t="s">
        <v>3617</v>
      </c>
      <c r="AK4576" s="5" t="s">
        <v>3618</v>
      </c>
    </row>
    <row r="4577" spans="35:37">
      <c r="AI4577" s="468">
        <v>46949</v>
      </c>
      <c r="AJ4577" s="5" t="s">
        <v>3619</v>
      </c>
      <c r="AK4577" s="5" t="s">
        <v>3620</v>
      </c>
    </row>
    <row r="4578" spans="35:37">
      <c r="AI4578" s="468">
        <v>46950</v>
      </c>
      <c r="AJ4578" s="5" t="s">
        <v>3621</v>
      </c>
      <c r="AK4578" s="5" t="s">
        <v>3622</v>
      </c>
    </row>
    <row r="4579" spans="35:37">
      <c r="AI4579" s="468">
        <v>46951</v>
      </c>
      <c r="AJ4579" s="5" t="s">
        <v>3579</v>
      </c>
      <c r="AK4579" s="5" t="s">
        <v>3623</v>
      </c>
    </row>
    <row r="4580" spans="35:37">
      <c r="AI4580" s="468">
        <v>46952</v>
      </c>
      <c r="AJ4580" s="5" t="s">
        <v>3624</v>
      </c>
      <c r="AK4580" s="5" t="s">
        <v>3625</v>
      </c>
    </row>
    <row r="4581" spans="35:37">
      <c r="AI4581" s="468">
        <v>46953</v>
      </c>
      <c r="AJ4581" s="5" t="s">
        <v>3626</v>
      </c>
      <c r="AK4581" s="5" t="s">
        <v>3627</v>
      </c>
    </row>
    <row r="4582" spans="35:37">
      <c r="AI4582" s="468">
        <v>46954</v>
      </c>
      <c r="AJ4582" s="5" t="s">
        <v>3628</v>
      </c>
      <c r="AK4582" s="5" t="s">
        <v>3618</v>
      </c>
    </row>
    <row r="4583" spans="35:37">
      <c r="AI4583" s="468">
        <v>46955</v>
      </c>
      <c r="AJ4583" s="5" t="s">
        <v>3617</v>
      </c>
      <c r="AK4583" s="5" t="s">
        <v>3620</v>
      </c>
    </row>
    <row r="4584" spans="35:37">
      <c r="AI4584" s="468">
        <v>46956</v>
      </c>
      <c r="AJ4584" s="5" t="s">
        <v>3619</v>
      </c>
      <c r="AK4584" s="5" t="s">
        <v>3625</v>
      </c>
    </row>
    <row r="4585" spans="35:37">
      <c r="AI4585" s="468">
        <v>46957</v>
      </c>
      <c r="AJ4585" s="5" t="s">
        <v>3621</v>
      </c>
      <c r="AK4585" s="5" t="s">
        <v>3627</v>
      </c>
    </row>
    <row r="4586" spans="35:37">
      <c r="AI4586" s="468">
        <v>46958</v>
      </c>
      <c r="AJ4586" s="5" t="s">
        <v>3579</v>
      </c>
      <c r="AK4586" s="5" t="s">
        <v>3618</v>
      </c>
    </row>
    <row r="4587" spans="35:37">
      <c r="AI4587" s="468">
        <v>46959</v>
      </c>
      <c r="AJ4587" s="5" t="s">
        <v>3624</v>
      </c>
      <c r="AK4587" s="5" t="s">
        <v>3620</v>
      </c>
    </row>
    <row r="4588" spans="35:37">
      <c r="AI4588" s="468">
        <v>46960</v>
      </c>
      <c r="AJ4588" s="5" t="s">
        <v>3626</v>
      </c>
      <c r="AK4588" s="5" t="s">
        <v>3622</v>
      </c>
    </row>
    <row r="4589" spans="35:37">
      <c r="AI4589" s="468">
        <v>46961</v>
      </c>
      <c r="AJ4589" s="5" t="s">
        <v>3628</v>
      </c>
      <c r="AK4589" s="5" t="s">
        <v>3623</v>
      </c>
    </row>
    <row r="4590" spans="35:37">
      <c r="AI4590" s="468">
        <v>46962</v>
      </c>
      <c r="AJ4590" s="5" t="s">
        <v>3617</v>
      </c>
      <c r="AK4590" s="5" t="s">
        <v>3625</v>
      </c>
    </row>
    <row r="4591" spans="35:37">
      <c r="AI4591" s="468">
        <v>46963</v>
      </c>
      <c r="AJ4591" s="5" t="s">
        <v>3619</v>
      </c>
      <c r="AK4591" s="5" t="s">
        <v>3627</v>
      </c>
    </row>
    <row r="4592" spans="35:37">
      <c r="AI4592" s="468">
        <v>46964</v>
      </c>
      <c r="AJ4592" s="5" t="s">
        <v>3621</v>
      </c>
      <c r="AK4592" s="5" t="s">
        <v>3618</v>
      </c>
    </row>
    <row r="4593" spans="35:37">
      <c r="AI4593" s="468">
        <v>46965</v>
      </c>
      <c r="AJ4593" s="5" t="s">
        <v>3579</v>
      </c>
      <c r="AK4593" s="5" t="s">
        <v>3620</v>
      </c>
    </row>
    <row r="4594" spans="35:37">
      <c r="AI4594" s="468">
        <v>46966</v>
      </c>
      <c r="AJ4594" s="5" t="s">
        <v>3624</v>
      </c>
      <c r="AK4594" s="5" t="s">
        <v>3622</v>
      </c>
    </row>
    <row r="4595" spans="35:37">
      <c r="AI4595" s="468">
        <v>46967</v>
      </c>
      <c r="AJ4595" s="5" t="s">
        <v>3626</v>
      </c>
      <c r="AK4595" s="5" t="s">
        <v>3623</v>
      </c>
    </row>
    <row r="4596" spans="35:37">
      <c r="AI4596" s="468">
        <v>46968</v>
      </c>
      <c r="AJ4596" s="5" t="s">
        <v>3628</v>
      </c>
      <c r="AK4596" s="5" t="s">
        <v>3625</v>
      </c>
    </row>
    <row r="4597" spans="35:37">
      <c r="AI4597" s="468">
        <v>46969</v>
      </c>
      <c r="AJ4597" s="5" t="s">
        <v>3617</v>
      </c>
      <c r="AK4597" s="5" t="s">
        <v>3627</v>
      </c>
    </row>
    <row r="4598" spans="35:37">
      <c r="AI4598" s="468">
        <v>46970</v>
      </c>
      <c r="AJ4598" s="5" t="s">
        <v>3619</v>
      </c>
      <c r="AK4598" s="5" t="s">
        <v>3618</v>
      </c>
    </row>
    <row r="4599" spans="35:37">
      <c r="AI4599" s="468">
        <v>46971</v>
      </c>
      <c r="AJ4599" s="5" t="s">
        <v>3621</v>
      </c>
      <c r="AK4599" s="5" t="s">
        <v>3620</v>
      </c>
    </row>
    <row r="4600" spans="35:37">
      <c r="AI4600" s="468">
        <v>46972</v>
      </c>
      <c r="AJ4600" s="5" t="s">
        <v>3579</v>
      </c>
      <c r="AK4600" s="5" t="s">
        <v>3622</v>
      </c>
    </row>
    <row r="4601" spans="35:37">
      <c r="AI4601" s="468">
        <v>46973</v>
      </c>
      <c r="AJ4601" s="5" t="s">
        <v>3624</v>
      </c>
      <c r="AK4601" s="5" t="s">
        <v>3623</v>
      </c>
    </row>
    <row r="4602" spans="35:37">
      <c r="AI4602" s="468">
        <v>46974</v>
      </c>
      <c r="AJ4602" s="5" t="s">
        <v>3626</v>
      </c>
      <c r="AK4602" s="5" t="s">
        <v>3625</v>
      </c>
    </row>
    <row r="4603" spans="35:37">
      <c r="AI4603" s="468">
        <v>46975</v>
      </c>
      <c r="AJ4603" s="5" t="s">
        <v>3628</v>
      </c>
      <c r="AK4603" s="5" t="s">
        <v>3627</v>
      </c>
    </row>
    <row r="4604" spans="35:37">
      <c r="AI4604" s="468">
        <v>46976</v>
      </c>
      <c r="AJ4604" s="5" t="s">
        <v>3617</v>
      </c>
      <c r="AK4604" s="5" t="s">
        <v>3618</v>
      </c>
    </row>
    <row r="4605" spans="35:37">
      <c r="AI4605" s="468">
        <v>46977</v>
      </c>
      <c r="AJ4605" s="5" t="s">
        <v>3619</v>
      </c>
      <c r="AK4605" s="5" t="s">
        <v>3620</v>
      </c>
    </row>
    <row r="4606" spans="35:37">
      <c r="AI4606" s="468">
        <v>46978</v>
      </c>
      <c r="AJ4606" s="5" t="s">
        <v>3621</v>
      </c>
      <c r="AK4606" s="5" t="s">
        <v>3622</v>
      </c>
    </row>
    <row r="4607" spans="35:37">
      <c r="AI4607" s="468">
        <v>46979</v>
      </c>
      <c r="AJ4607" s="5" t="s">
        <v>3579</v>
      </c>
      <c r="AK4607" s="5" t="s">
        <v>3623</v>
      </c>
    </row>
    <row r="4608" spans="35:37">
      <c r="AI4608" s="468">
        <v>46980</v>
      </c>
      <c r="AJ4608" s="5" t="s">
        <v>3624</v>
      </c>
      <c r="AK4608" s="5" t="s">
        <v>3625</v>
      </c>
    </row>
    <row r="4609" spans="35:37">
      <c r="AI4609" s="468">
        <v>46981</v>
      </c>
      <c r="AJ4609" s="5" t="s">
        <v>3626</v>
      </c>
      <c r="AK4609" s="5" t="s">
        <v>3627</v>
      </c>
    </row>
    <row r="4610" spans="35:37">
      <c r="AI4610" s="468">
        <v>46982</v>
      </c>
      <c r="AJ4610" s="5" t="s">
        <v>3628</v>
      </c>
      <c r="AK4610" s="5" t="s">
        <v>3618</v>
      </c>
    </row>
    <row r="4611" spans="35:37">
      <c r="AI4611" s="468">
        <v>46983</v>
      </c>
      <c r="AJ4611" s="5" t="s">
        <v>3617</v>
      </c>
      <c r="AK4611" s="5" t="s">
        <v>3620</v>
      </c>
    </row>
    <row r="4612" spans="35:37">
      <c r="AI4612" s="468">
        <v>46984</v>
      </c>
      <c r="AJ4612" s="5" t="s">
        <v>3619</v>
      </c>
      <c r="AK4612" s="5" t="s">
        <v>3622</v>
      </c>
    </row>
    <row r="4613" spans="35:37">
      <c r="AI4613" s="468">
        <v>46985</v>
      </c>
      <c r="AJ4613" s="5" t="s">
        <v>3621</v>
      </c>
      <c r="AK4613" s="5" t="s">
        <v>3627</v>
      </c>
    </row>
    <row r="4614" spans="35:37">
      <c r="AI4614" s="468">
        <v>46986</v>
      </c>
      <c r="AJ4614" s="5" t="s">
        <v>3579</v>
      </c>
      <c r="AK4614" s="5" t="s">
        <v>3618</v>
      </c>
    </row>
    <row r="4615" spans="35:37">
      <c r="AI4615" s="468">
        <v>46987</v>
      </c>
      <c r="AJ4615" s="5" t="s">
        <v>3624</v>
      </c>
      <c r="AK4615" s="5" t="s">
        <v>3620</v>
      </c>
    </row>
    <row r="4616" spans="35:37">
      <c r="AI4616" s="468">
        <v>46988</v>
      </c>
      <c r="AJ4616" s="5" t="s">
        <v>3626</v>
      </c>
      <c r="AK4616" s="5" t="s">
        <v>3622</v>
      </c>
    </row>
    <row r="4617" spans="35:37">
      <c r="AI4617" s="468">
        <v>46989</v>
      </c>
      <c r="AJ4617" s="5" t="s">
        <v>3628</v>
      </c>
      <c r="AK4617" s="5" t="s">
        <v>3623</v>
      </c>
    </row>
    <row r="4618" spans="35:37">
      <c r="AI4618" s="468">
        <v>46990</v>
      </c>
      <c r="AJ4618" s="5" t="s">
        <v>3617</v>
      </c>
      <c r="AK4618" s="5" t="s">
        <v>3625</v>
      </c>
    </row>
    <row r="4619" spans="35:37">
      <c r="AI4619" s="468">
        <v>46991</v>
      </c>
      <c r="AJ4619" s="5" t="s">
        <v>3619</v>
      </c>
      <c r="AK4619" s="5" t="s">
        <v>3627</v>
      </c>
    </row>
    <row r="4620" spans="35:37">
      <c r="AI4620" s="468">
        <v>46992</v>
      </c>
      <c r="AJ4620" s="5" t="s">
        <v>3621</v>
      </c>
      <c r="AK4620" s="5" t="s">
        <v>3618</v>
      </c>
    </row>
    <row r="4621" spans="35:37">
      <c r="AI4621" s="468">
        <v>46993</v>
      </c>
      <c r="AJ4621" s="5" t="s">
        <v>3579</v>
      </c>
      <c r="AK4621" s="5" t="s">
        <v>3620</v>
      </c>
    </row>
    <row r="4622" spans="35:37">
      <c r="AI4622" s="468">
        <v>46994</v>
      </c>
      <c r="AJ4622" s="5" t="s">
        <v>3624</v>
      </c>
      <c r="AK4622" s="5" t="s">
        <v>3622</v>
      </c>
    </row>
    <row r="4623" spans="35:37">
      <c r="AI4623" s="468">
        <v>46995</v>
      </c>
      <c r="AJ4623" s="5" t="s">
        <v>3626</v>
      </c>
      <c r="AK4623" s="5" t="s">
        <v>3623</v>
      </c>
    </row>
    <row r="4624" spans="35:37">
      <c r="AI4624" s="468">
        <v>46996</v>
      </c>
      <c r="AJ4624" s="5" t="s">
        <v>3628</v>
      </c>
      <c r="AK4624" s="5" t="s">
        <v>3625</v>
      </c>
    </row>
    <row r="4625" spans="35:37">
      <c r="AI4625" s="468">
        <v>46997</v>
      </c>
      <c r="AJ4625" s="5" t="s">
        <v>3617</v>
      </c>
      <c r="AK4625" s="5" t="s">
        <v>3627</v>
      </c>
    </row>
    <row r="4626" spans="35:37">
      <c r="AI4626" s="468">
        <v>46998</v>
      </c>
      <c r="AJ4626" s="5" t="s">
        <v>3619</v>
      </c>
      <c r="AK4626" s="5" t="s">
        <v>3618</v>
      </c>
    </row>
    <row r="4627" spans="35:37">
      <c r="AI4627" s="468">
        <v>46999</v>
      </c>
      <c r="AJ4627" s="5" t="s">
        <v>3621</v>
      </c>
      <c r="AK4627" s="5" t="s">
        <v>3620</v>
      </c>
    </row>
    <row r="4628" spans="35:37">
      <c r="AI4628" s="468">
        <v>47000</v>
      </c>
      <c r="AJ4628" s="5" t="s">
        <v>3579</v>
      </c>
      <c r="AK4628" s="5" t="s">
        <v>3622</v>
      </c>
    </row>
    <row r="4629" spans="35:37">
      <c r="AI4629" s="468">
        <v>47001</v>
      </c>
      <c r="AJ4629" s="5" t="s">
        <v>3624</v>
      </c>
      <c r="AK4629" s="5" t="s">
        <v>3623</v>
      </c>
    </row>
    <row r="4630" spans="35:37">
      <c r="AI4630" s="468">
        <v>47002</v>
      </c>
      <c r="AJ4630" s="5" t="s">
        <v>3626</v>
      </c>
      <c r="AK4630" s="5" t="s">
        <v>3625</v>
      </c>
    </row>
    <row r="4631" spans="35:37">
      <c r="AI4631" s="468">
        <v>47003</v>
      </c>
      <c r="AJ4631" s="5" t="s">
        <v>3628</v>
      </c>
      <c r="AK4631" s="5" t="s">
        <v>3627</v>
      </c>
    </row>
    <row r="4632" spans="35:37">
      <c r="AI4632" s="468">
        <v>47004</v>
      </c>
      <c r="AJ4632" s="5" t="s">
        <v>3617</v>
      </c>
      <c r="AK4632" s="5" t="s">
        <v>3618</v>
      </c>
    </row>
    <row r="4633" spans="35:37">
      <c r="AI4633" s="468">
        <v>47005</v>
      </c>
      <c r="AJ4633" s="5" t="s">
        <v>3619</v>
      </c>
      <c r="AK4633" s="5" t="s">
        <v>3620</v>
      </c>
    </row>
    <row r="4634" spans="35:37">
      <c r="AI4634" s="468">
        <v>47006</v>
      </c>
      <c r="AJ4634" s="5" t="s">
        <v>3621</v>
      </c>
      <c r="AK4634" s="5" t="s">
        <v>3622</v>
      </c>
    </row>
    <row r="4635" spans="35:37">
      <c r="AI4635" s="468">
        <v>47007</v>
      </c>
      <c r="AJ4635" s="5" t="s">
        <v>3579</v>
      </c>
      <c r="AK4635" s="5" t="s">
        <v>3623</v>
      </c>
    </row>
    <row r="4636" spans="35:37">
      <c r="AI4636" s="468">
        <v>47008</v>
      </c>
      <c r="AJ4636" s="5" t="s">
        <v>3624</v>
      </c>
      <c r="AK4636" s="5" t="s">
        <v>3625</v>
      </c>
    </row>
    <row r="4637" spans="35:37">
      <c r="AI4637" s="468">
        <v>47009</v>
      </c>
      <c r="AJ4637" s="5" t="s">
        <v>3626</v>
      </c>
      <c r="AK4637" s="5" t="s">
        <v>3627</v>
      </c>
    </row>
    <row r="4638" spans="35:37">
      <c r="AI4638" s="468">
        <v>47010</v>
      </c>
      <c r="AJ4638" s="5" t="s">
        <v>3628</v>
      </c>
      <c r="AK4638" s="5" t="s">
        <v>3618</v>
      </c>
    </row>
    <row r="4639" spans="35:37">
      <c r="AI4639" s="468">
        <v>47011</v>
      </c>
      <c r="AJ4639" s="5" t="s">
        <v>3617</v>
      </c>
      <c r="AK4639" s="5" t="s">
        <v>3620</v>
      </c>
    </row>
    <row r="4640" spans="35:37">
      <c r="AI4640" s="468">
        <v>47012</v>
      </c>
      <c r="AJ4640" s="5" t="s">
        <v>3619</v>
      </c>
      <c r="AK4640" s="5" t="s">
        <v>3622</v>
      </c>
    </row>
    <row r="4641" spans="35:37">
      <c r="AI4641" s="468">
        <v>47013</v>
      </c>
      <c r="AJ4641" s="5" t="s">
        <v>3621</v>
      </c>
      <c r="AK4641" s="5" t="s">
        <v>3623</v>
      </c>
    </row>
    <row r="4642" spans="35:37">
      <c r="AI4642" s="468">
        <v>47014</v>
      </c>
      <c r="AJ4642" s="5" t="s">
        <v>3579</v>
      </c>
      <c r="AK4642" s="5" t="s">
        <v>3625</v>
      </c>
    </row>
    <row r="4643" spans="35:37">
      <c r="AI4643" s="468">
        <v>47015</v>
      </c>
      <c r="AJ4643" s="5" t="s">
        <v>3624</v>
      </c>
      <c r="AK4643" s="5" t="s">
        <v>3618</v>
      </c>
    </row>
    <row r="4644" spans="35:37">
      <c r="AI4644" s="468">
        <v>47016</v>
      </c>
      <c r="AJ4644" s="5" t="s">
        <v>3626</v>
      </c>
      <c r="AK4644" s="5" t="s">
        <v>3620</v>
      </c>
    </row>
    <row r="4645" spans="35:37">
      <c r="AI4645" s="468">
        <v>47017</v>
      </c>
      <c r="AJ4645" s="5" t="s">
        <v>3628</v>
      </c>
      <c r="AK4645" s="5" t="s">
        <v>3622</v>
      </c>
    </row>
    <row r="4646" spans="35:37">
      <c r="AI4646" s="468">
        <v>47018</v>
      </c>
      <c r="AJ4646" s="5" t="s">
        <v>3617</v>
      </c>
      <c r="AK4646" s="5" t="s">
        <v>3623</v>
      </c>
    </row>
    <row r="4647" spans="35:37">
      <c r="AI4647" s="468">
        <v>47019</v>
      </c>
      <c r="AJ4647" s="5" t="s">
        <v>3619</v>
      </c>
      <c r="AK4647" s="5" t="s">
        <v>3625</v>
      </c>
    </row>
    <row r="4648" spans="35:37">
      <c r="AI4648" s="468">
        <v>47020</v>
      </c>
      <c r="AJ4648" s="5" t="s">
        <v>3621</v>
      </c>
      <c r="AK4648" s="5" t="s">
        <v>3627</v>
      </c>
    </row>
    <row r="4649" spans="35:37">
      <c r="AI4649" s="468">
        <v>47021</v>
      </c>
      <c r="AJ4649" s="5" t="s">
        <v>3579</v>
      </c>
      <c r="AK4649" s="5" t="s">
        <v>3618</v>
      </c>
    </row>
    <row r="4650" spans="35:37">
      <c r="AI4650" s="468">
        <v>47022</v>
      </c>
      <c r="AJ4650" s="5" t="s">
        <v>3624</v>
      </c>
      <c r="AK4650" s="5" t="s">
        <v>3620</v>
      </c>
    </row>
    <row r="4651" spans="35:37">
      <c r="AI4651" s="468">
        <v>47023</v>
      </c>
      <c r="AJ4651" s="5" t="s">
        <v>3626</v>
      </c>
      <c r="AK4651" s="5" t="s">
        <v>3622</v>
      </c>
    </row>
    <row r="4652" spans="35:37">
      <c r="AI4652" s="468">
        <v>47024</v>
      </c>
      <c r="AJ4652" s="5" t="s">
        <v>3628</v>
      </c>
      <c r="AK4652" s="5" t="s">
        <v>3623</v>
      </c>
    </row>
    <row r="4653" spans="35:37">
      <c r="AI4653" s="468">
        <v>47025</v>
      </c>
      <c r="AJ4653" s="5" t="s">
        <v>3617</v>
      </c>
      <c r="AK4653" s="5" t="s">
        <v>3625</v>
      </c>
    </row>
    <row r="4654" spans="35:37">
      <c r="AI4654" s="468">
        <v>47026</v>
      </c>
      <c r="AJ4654" s="5" t="s">
        <v>3619</v>
      </c>
      <c r="AK4654" s="5" t="s">
        <v>3627</v>
      </c>
    </row>
    <row r="4655" spans="35:37">
      <c r="AI4655" s="468">
        <v>47027</v>
      </c>
      <c r="AJ4655" s="5" t="s">
        <v>3621</v>
      </c>
      <c r="AK4655" s="5" t="s">
        <v>3618</v>
      </c>
    </row>
    <row r="4656" spans="35:37">
      <c r="AI4656" s="468">
        <v>47028</v>
      </c>
      <c r="AJ4656" s="5" t="s">
        <v>3579</v>
      </c>
      <c r="AK4656" s="5" t="s">
        <v>3620</v>
      </c>
    </row>
    <row r="4657" spans="35:37">
      <c r="AI4657" s="468">
        <v>47029</v>
      </c>
      <c r="AJ4657" s="5" t="s">
        <v>3624</v>
      </c>
      <c r="AK4657" s="5" t="s">
        <v>3622</v>
      </c>
    </row>
    <row r="4658" spans="35:37">
      <c r="AI4658" s="468">
        <v>47030</v>
      </c>
      <c r="AJ4658" s="5" t="s">
        <v>3626</v>
      </c>
      <c r="AK4658" s="5" t="s">
        <v>3623</v>
      </c>
    </row>
    <row r="4659" spans="35:37">
      <c r="AI4659" s="468">
        <v>47031</v>
      </c>
      <c r="AJ4659" s="5" t="s">
        <v>3628</v>
      </c>
      <c r="AK4659" s="5" t="s">
        <v>3625</v>
      </c>
    </row>
    <row r="4660" spans="35:37">
      <c r="AI4660" s="468">
        <v>47032</v>
      </c>
      <c r="AJ4660" s="5" t="s">
        <v>3617</v>
      </c>
      <c r="AK4660" s="5" t="s">
        <v>3627</v>
      </c>
    </row>
    <row r="4661" spans="35:37">
      <c r="AI4661" s="468">
        <v>47033</v>
      </c>
      <c r="AJ4661" s="5" t="s">
        <v>3619</v>
      </c>
      <c r="AK4661" s="5" t="s">
        <v>3618</v>
      </c>
    </row>
    <row r="4662" spans="35:37">
      <c r="AI4662" s="468">
        <v>47034</v>
      </c>
      <c r="AJ4662" s="5" t="s">
        <v>3621</v>
      </c>
      <c r="AK4662" s="5" t="s">
        <v>3620</v>
      </c>
    </row>
    <row r="4663" spans="35:37">
      <c r="AI4663" s="468">
        <v>47035</v>
      </c>
      <c r="AJ4663" s="5" t="s">
        <v>3579</v>
      </c>
      <c r="AK4663" s="5" t="s">
        <v>3622</v>
      </c>
    </row>
    <row r="4664" spans="35:37">
      <c r="AI4664" s="468">
        <v>47036</v>
      </c>
      <c r="AJ4664" s="5" t="s">
        <v>3624</v>
      </c>
      <c r="AK4664" s="5" t="s">
        <v>3623</v>
      </c>
    </row>
    <row r="4665" spans="35:37">
      <c r="AI4665" s="468">
        <v>47037</v>
      </c>
      <c r="AJ4665" s="5" t="s">
        <v>3626</v>
      </c>
      <c r="AK4665" s="5" t="s">
        <v>3625</v>
      </c>
    </row>
    <row r="4666" spans="35:37">
      <c r="AI4666" s="468">
        <v>47038</v>
      </c>
      <c r="AJ4666" s="5" t="s">
        <v>3628</v>
      </c>
      <c r="AK4666" s="5" t="s">
        <v>3627</v>
      </c>
    </row>
    <row r="4667" spans="35:37">
      <c r="AI4667" s="468">
        <v>47039</v>
      </c>
      <c r="AJ4667" s="5" t="s">
        <v>3617</v>
      </c>
      <c r="AK4667" s="5" t="s">
        <v>3618</v>
      </c>
    </row>
    <row r="4668" spans="35:37">
      <c r="AI4668" s="468">
        <v>47040</v>
      </c>
      <c r="AJ4668" s="5" t="s">
        <v>3619</v>
      </c>
      <c r="AK4668" s="5" t="s">
        <v>3620</v>
      </c>
    </row>
    <row r="4669" spans="35:37">
      <c r="AI4669" s="468">
        <v>47041</v>
      </c>
      <c r="AJ4669" s="5" t="s">
        <v>3621</v>
      </c>
      <c r="AK4669" s="5" t="s">
        <v>3622</v>
      </c>
    </row>
    <row r="4670" spans="35:37">
      <c r="AI4670" s="468">
        <v>47042</v>
      </c>
      <c r="AJ4670" s="5" t="s">
        <v>3579</v>
      </c>
      <c r="AK4670" s="5" t="s">
        <v>3623</v>
      </c>
    </row>
    <row r="4671" spans="35:37">
      <c r="AI4671" s="468">
        <v>47043</v>
      </c>
      <c r="AJ4671" s="5" t="s">
        <v>3624</v>
      </c>
      <c r="AK4671" s="5" t="s">
        <v>3625</v>
      </c>
    </row>
    <row r="4672" spans="35:37">
      <c r="AI4672" s="468">
        <v>47044</v>
      </c>
      <c r="AJ4672" s="5" t="s">
        <v>3626</v>
      </c>
      <c r="AK4672" s="5" t="s">
        <v>3620</v>
      </c>
    </row>
    <row r="4673" spans="35:37">
      <c r="AI4673" s="468">
        <v>47045</v>
      </c>
      <c r="AJ4673" s="5" t="s">
        <v>3628</v>
      </c>
      <c r="AK4673" s="5" t="s">
        <v>3622</v>
      </c>
    </row>
    <row r="4674" spans="35:37">
      <c r="AI4674" s="468">
        <v>47046</v>
      </c>
      <c r="AJ4674" s="5" t="s">
        <v>3617</v>
      </c>
      <c r="AK4674" s="5" t="s">
        <v>3623</v>
      </c>
    </row>
    <row r="4675" spans="35:37">
      <c r="AI4675" s="468">
        <v>47047</v>
      </c>
      <c r="AJ4675" s="5" t="s">
        <v>3619</v>
      </c>
      <c r="AK4675" s="5" t="s">
        <v>3625</v>
      </c>
    </row>
    <row r="4676" spans="35:37">
      <c r="AI4676" s="468">
        <v>47048</v>
      </c>
      <c r="AJ4676" s="5" t="s">
        <v>3621</v>
      </c>
      <c r="AK4676" s="5" t="s">
        <v>3627</v>
      </c>
    </row>
    <row r="4677" spans="35:37">
      <c r="AI4677" s="468">
        <v>47049</v>
      </c>
      <c r="AJ4677" s="5" t="s">
        <v>3579</v>
      </c>
      <c r="AK4677" s="5" t="s">
        <v>3618</v>
      </c>
    </row>
    <row r="4678" spans="35:37">
      <c r="AI4678" s="468">
        <v>47050</v>
      </c>
      <c r="AJ4678" s="5" t="s">
        <v>3624</v>
      </c>
      <c r="AK4678" s="5" t="s">
        <v>3620</v>
      </c>
    </row>
    <row r="4679" spans="35:37">
      <c r="AI4679" s="468">
        <v>47051</v>
      </c>
      <c r="AJ4679" s="5" t="s">
        <v>3626</v>
      </c>
      <c r="AK4679" s="5" t="s">
        <v>3622</v>
      </c>
    </row>
    <row r="4680" spans="35:37">
      <c r="AI4680" s="468">
        <v>47052</v>
      </c>
      <c r="AJ4680" s="5" t="s">
        <v>3628</v>
      </c>
      <c r="AK4680" s="5" t="s">
        <v>3623</v>
      </c>
    </row>
    <row r="4681" spans="35:37">
      <c r="AI4681" s="468">
        <v>47053</v>
      </c>
      <c r="AJ4681" s="5" t="s">
        <v>3617</v>
      </c>
      <c r="AK4681" s="5" t="s">
        <v>3625</v>
      </c>
    </row>
    <row r="4682" spans="35:37">
      <c r="AI4682" s="468">
        <v>47054</v>
      </c>
      <c r="AJ4682" s="5" t="s">
        <v>3619</v>
      </c>
      <c r="AK4682" s="5" t="s">
        <v>3627</v>
      </c>
    </row>
    <row r="4683" spans="35:37">
      <c r="AI4683" s="468">
        <v>47055</v>
      </c>
      <c r="AJ4683" s="5" t="s">
        <v>3621</v>
      </c>
      <c r="AK4683" s="5" t="s">
        <v>3618</v>
      </c>
    </row>
    <row r="4684" spans="35:37">
      <c r="AI4684" s="468">
        <v>47056</v>
      </c>
      <c r="AJ4684" s="5" t="s">
        <v>3579</v>
      </c>
      <c r="AK4684" s="5" t="s">
        <v>3620</v>
      </c>
    </row>
    <row r="4685" spans="35:37">
      <c r="AI4685" s="468">
        <v>47057</v>
      </c>
      <c r="AJ4685" s="5" t="s">
        <v>3624</v>
      </c>
      <c r="AK4685" s="5" t="s">
        <v>3622</v>
      </c>
    </row>
    <row r="4686" spans="35:37">
      <c r="AI4686" s="468">
        <v>47058</v>
      </c>
      <c r="AJ4686" s="5" t="s">
        <v>3626</v>
      </c>
      <c r="AK4686" s="5" t="s">
        <v>3623</v>
      </c>
    </row>
    <row r="4687" spans="35:37">
      <c r="AI4687" s="468">
        <v>47059</v>
      </c>
      <c r="AJ4687" s="5" t="s">
        <v>3628</v>
      </c>
      <c r="AK4687" s="5" t="s">
        <v>3625</v>
      </c>
    </row>
    <row r="4688" spans="35:37">
      <c r="AI4688" s="468">
        <v>47060</v>
      </c>
      <c r="AJ4688" s="5" t="s">
        <v>3617</v>
      </c>
      <c r="AK4688" s="5" t="s">
        <v>3627</v>
      </c>
    </row>
    <row r="4689" spans="35:37">
      <c r="AI4689" s="468">
        <v>47061</v>
      </c>
      <c r="AJ4689" s="5" t="s">
        <v>3619</v>
      </c>
      <c r="AK4689" s="5" t="s">
        <v>3618</v>
      </c>
    </row>
    <row r="4690" spans="35:37">
      <c r="AI4690" s="468">
        <v>47062</v>
      </c>
      <c r="AJ4690" s="5" t="s">
        <v>3621</v>
      </c>
      <c r="AK4690" s="5" t="s">
        <v>3620</v>
      </c>
    </row>
    <row r="4691" spans="35:37">
      <c r="AI4691" s="468">
        <v>47063</v>
      </c>
      <c r="AJ4691" s="5" t="s">
        <v>3579</v>
      </c>
      <c r="AK4691" s="5" t="s">
        <v>3622</v>
      </c>
    </row>
    <row r="4692" spans="35:37">
      <c r="AI4692" s="468">
        <v>47064</v>
      </c>
      <c r="AJ4692" s="5" t="s">
        <v>3624</v>
      </c>
      <c r="AK4692" s="5" t="s">
        <v>3623</v>
      </c>
    </row>
    <row r="4693" spans="35:37">
      <c r="AI4693" s="468">
        <v>47065</v>
      </c>
      <c r="AJ4693" s="5" t="s">
        <v>3626</v>
      </c>
      <c r="AK4693" s="5" t="s">
        <v>3625</v>
      </c>
    </row>
    <row r="4694" spans="35:37">
      <c r="AI4694" s="468">
        <v>47066</v>
      </c>
      <c r="AJ4694" s="5" t="s">
        <v>3628</v>
      </c>
      <c r="AK4694" s="5" t="s">
        <v>3627</v>
      </c>
    </row>
    <row r="4695" spans="35:37">
      <c r="AI4695" s="468">
        <v>47067</v>
      </c>
      <c r="AJ4695" s="5" t="s">
        <v>3617</v>
      </c>
      <c r="AK4695" s="5" t="s">
        <v>3618</v>
      </c>
    </row>
    <row r="4696" spans="35:37">
      <c r="AI4696" s="468">
        <v>47068</v>
      </c>
      <c r="AJ4696" s="5" t="s">
        <v>3619</v>
      </c>
      <c r="AK4696" s="5" t="s">
        <v>3620</v>
      </c>
    </row>
    <row r="4697" spans="35:37">
      <c r="AI4697" s="468">
        <v>47069</v>
      </c>
      <c r="AJ4697" s="5" t="s">
        <v>3621</v>
      </c>
      <c r="AK4697" s="5" t="s">
        <v>3622</v>
      </c>
    </row>
    <row r="4698" spans="35:37">
      <c r="AI4698" s="468">
        <v>47070</v>
      </c>
      <c r="AJ4698" s="5" t="s">
        <v>3579</v>
      </c>
      <c r="AK4698" s="5" t="s">
        <v>3623</v>
      </c>
    </row>
    <row r="4699" spans="35:37">
      <c r="AI4699" s="468">
        <v>47071</v>
      </c>
      <c r="AJ4699" s="5" t="s">
        <v>3624</v>
      </c>
      <c r="AK4699" s="5" t="s">
        <v>3625</v>
      </c>
    </row>
    <row r="4700" spans="35:37">
      <c r="AI4700" s="468">
        <v>47072</v>
      </c>
      <c r="AJ4700" s="5" t="s">
        <v>3626</v>
      </c>
      <c r="AK4700" s="5" t="s">
        <v>3627</v>
      </c>
    </row>
    <row r="4701" spans="35:37">
      <c r="AI4701" s="468">
        <v>47073</v>
      </c>
      <c r="AJ4701" s="5" t="s">
        <v>3628</v>
      </c>
      <c r="AK4701" s="5" t="s">
        <v>3622</v>
      </c>
    </row>
    <row r="4702" spans="35:37">
      <c r="AI4702" s="468">
        <v>47074</v>
      </c>
      <c r="AJ4702" s="5" t="s">
        <v>3617</v>
      </c>
      <c r="AK4702" s="5" t="s">
        <v>3623</v>
      </c>
    </row>
    <row r="4703" spans="35:37">
      <c r="AI4703" s="468">
        <v>47075</v>
      </c>
      <c r="AJ4703" s="5" t="s">
        <v>3619</v>
      </c>
      <c r="AK4703" s="5" t="s">
        <v>3625</v>
      </c>
    </row>
    <row r="4704" spans="35:37">
      <c r="AI4704" s="468">
        <v>47076</v>
      </c>
      <c r="AJ4704" s="5" t="s">
        <v>3621</v>
      </c>
      <c r="AK4704" s="5" t="s">
        <v>3627</v>
      </c>
    </row>
    <row r="4705" spans="35:37">
      <c r="AI4705" s="468">
        <v>47077</v>
      </c>
      <c r="AJ4705" s="5" t="s">
        <v>3579</v>
      </c>
      <c r="AK4705" s="5" t="s">
        <v>3618</v>
      </c>
    </row>
    <row r="4706" spans="35:37">
      <c r="AI4706" s="468">
        <v>47078</v>
      </c>
      <c r="AJ4706" s="5" t="s">
        <v>3624</v>
      </c>
      <c r="AK4706" s="5" t="s">
        <v>3620</v>
      </c>
    </row>
    <row r="4707" spans="35:37">
      <c r="AI4707" s="468">
        <v>47079</v>
      </c>
      <c r="AJ4707" s="5" t="s">
        <v>3626</v>
      </c>
      <c r="AK4707" s="5" t="s">
        <v>3622</v>
      </c>
    </row>
    <row r="4708" spans="35:37">
      <c r="AI4708" s="468">
        <v>47080</v>
      </c>
      <c r="AJ4708" s="5" t="s">
        <v>3628</v>
      </c>
      <c r="AK4708" s="5" t="s">
        <v>3623</v>
      </c>
    </row>
    <row r="4709" spans="35:37">
      <c r="AI4709" s="468">
        <v>47081</v>
      </c>
      <c r="AJ4709" s="5" t="s">
        <v>3617</v>
      </c>
      <c r="AK4709" s="5" t="s">
        <v>3625</v>
      </c>
    </row>
    <row r="4710" spans="35:37">
      <c r="AI4710" s="468">
        <v>47082</v>
      </c>
      <c r="AJ4710" s="5" t="s">
        <v>3619</v>
      </c>
      <c r="AK4710" s="5" t="s">
        <v>3627</v>
      </c>
    </row>
    <row r="4711" spans="35:37">
      <c r="AI4711" s="468">
        <v>47083</v>
      </c>
      <c r="AJ4711" s="5" t="s">
        <v>3621</v>
      </c>
      <c r="AK4711" s="5" t="s">
        <v>3618</v>
      </c>
    </row>
    <row r="4712" spans="35:37">
      <c r="AI4712" s="468">
        <v>47084</v>
      </c>
      <c r="AJ4712" s="5" t="s">
        <v>3579</v>
      </c>
      <c r="AK4712" s="5" t="s">
        <v>3620</v>
      </c>
    </row>
    <row r="4713" spans="35:37">
      <c r="AI4713" s="468">
        <v>47085</v>
      </c>
      <c r="AJ4713" s="5" t="s">
        <v>3624</v>
      </c>
      <c r="AK4713" s="5" t="s">
        <v>3622</v>
      </c>
    </row>
    <row r="4714" spans="35:37">
      <c r="AI4714" s="468">
        <v>47086</v>
      </c>
      <c r="AJ4714" s="5" t="s">
        <v>3626</v>
      </c>
      <c r="AK4714" s="5" t="s">
        <v>3623</v>
      </c>
    </row>
    <row r="4715" spans="35:37">
      <c r="AI4715" s="468">
        <v>47087</v>
      </c>
      <c r="AJ4715" s="5" t="s">
        <v>3628</v>
      </c>
      <c r="AK4715" s="5" t="s">
        <v>3625</v>
      </c>
    </row>
    <row r="4716" spans="35:37">
      <c r="AI4716" s="468">
        <v>47088</v>
      </c>
      <c r="AJ4716" s="5" t="s">
        <v>3617</v>
      </c>
      <c r="AK4716" s="5" t="s">
        <v>3627</v>
      </c>
    </row>
    <row r="4717" spans="35:37">
      <c r="AI4717" s="468">
        <v>47089</v>
      </c>
      <c r="AJ4717" s="5" t="s">
        <v>3619</v>
      </c>
      <c r="AK4717" s="5" t="s">
        <v>3618</v>
      </c>
    </row>
    <row r="4718" spans="35:37">
      <c r="AI4718" s="468">
        <v>47090</v>
      </c>
      <c r="AJ4718" s="5" t="s">
        <v>3621</v>
      </c>
      <c r="AK4718" s="5" t="s">
        <v>3620</v>
      </c>
    </row>
    <row r="4719" spans="35:37">
      <c r="AI4719" s="468">
        <v>47091</v>
      </c>
      <c r="AJ4719" s="5" t="s">
        <v>3579</v>
      </c>
      <c r="AK4719" s="5" t="s">
        <v>3622</v>
      </c>
    </row>
    <row r="4720" spans="35:37">
      <c r="AI4720" s="468">
        <v>47092</v>
      </c>
      <c r="AJ4720" s="5" t="s">
        <v>3624</v>
      </c>
      <c r="AK4720" s="5" t="s">
        <v>3623</v>
      </c>
    </row>
    <row r="4721" spans="35:37">
      <c r="AI4721" s="468">
        <v>47093</v>
      </c>
      <c r="AJ4721" s="5" t="s">
        <v>3626</v>
      </c>
      <c r="AK4721" s="5" t="s">
        <v>3625</v>
      </c>
    </row>
    <row r="4722" spans="35:37">
      <c r="AI4722" s="468">
        <v>47094</v>
      </c>
      <c r="AJ4722" s="5" t="s">
        <v>3628</v>
      </c>
      <c r="AK4722" s="5" t="s">
        <v>3627</v>
      </c>
    </row>
    <row r="4723" spans="35:37">
      <c r="AI4723" s="468">
        <v>47095</v>
      </c>
      <c r="AJ4723" s="5" t="s">
        <v>3617</v>
      </c>
      <c r="AK4723" s="5" t="s">
        <v>3618</v>
      </c>
    </row>
    <row r="4724" spans="35:37">
      <c r="AI4724" s="468">
        <v>47096</v>
      </c>
      <c r="AJ4724" s="5" t="s">
        <v>3619</v>
      </c>
      <c r="AK4724" s="5" t="s">
        <v>3620</v>
      </c>
    </row>
    <row r="4725" spans="35:37">
      <c r="AI4725" s="468">
        <v>47097</v>
      </c>
      <c r="AJ4725" s="5" t="s">
        <v>3621</v>
      </c>
      <c r="AK4725" s="5" t="s">
        <v>3622</v>
      </c>
    </row>
    <row r="4726" spans="35:37">
      <c r="AI4726" s="468">
        <v>47098</v>
      </c>
      <c r="AJ4726" s="5" t="s">
        <v>3579</v>
      </c>
      <c r="AK4726" s="5" t="s">
        <v>3623</v>
      </c>
    </row>
    <row r="4727" spans="35:37">
      <c r="AI4727" s="468">
        <v>47099</v>
      </c>
      <c r="AJ4727" s="5" t="s">
        <v>3624</v>
      </c>
      <c r="AK4727" s="5" t="s">
        <v>3625</v>
      </c>
    </row>
    <row r="4728" spans="35:37">
      <c r="AI4728" s="468">
        <v>47100</v>
      </c>
      <c r="AJ4728" s="5" t="s">
        <v>3626</v>
      </c>
      <c r="AK4728" s="5" t="s">
        <v>3627</v>
      </c>
    </row>
    <row r="4729" spans="35:37">
      <c r="AI4729" s="468">
        <v>47101</v>
      </c>
      <c r="AJ4729" s="5" t="s">
        <v>3628</v>
      </c>
      <c r="AK4729" s="5" t="s">
        <v>3618</v>
      </c>
    </row>
    <row r="4730" spans="35:37">
      <c r="AI4730" s="468">
        <v>47102</v>
      </c>
      <c r="AJ4730" s="5" t="s">
        <v>3617</v>
      </c>
      <c r="AK4730" s="5" t="s">
        <v>3620</v>
      </c>
    </row>
    <row r="4731" spans="35:37">
      <c r="AI4731" s="468">
        <v>47103</v>
      </c>
      <c r="AJ4731" s="5" t="s">
        <v>3619</v>
      </c>
      <c r="AK4731" s="5" t="s">
        <v>3623</v>
      </c>
    </row>
    <row r="4732" spans="35:37">
      <c r="AI4732" s="468">
        <v>47104</v>
      </c>
      <c r="AJ4732" s="5" t="s">
        <v>3621</v>
      </c>
      <c r="AK4732" s="5" t="s">
        <v>3625</v>
      </c>
    </row>
    <row r="4733" spans="35:37">
      <c r="AI4733" s="468">
        <v>47105</v>
      </c>
      <c r="AJ4733" s="5" t="s">
        <v>3579</v>
      </c>
      <c r="AK4733" s="5" t="s">
        <v>3627</v>
      </c>
    </row>
    <row r="4734" spans="35:37">
      <c r="AI4734" s="468">
        <v>47106</v>
      </c>
      <c r="AJ4734" s="5" t="s">
        <v>3624</v>
      </c>
      <c r="AK4734" s="5" t="s">
        <v>3618</v>
      </c>
    </row>
    <row r="4735" spans="35:37">
      <c r="AI4735" s="468">
        <v>47107</v>
      </c>
      <c r="AJ4735" s="5" t="s">
        <v>3626</v>
      </c>
      <c r="AK4735" s="5" t="s">
        <v>3620</v>
      </c>
    </row>
    <row r="4736" spans="35:37">
      <c r="AI4736" s="468">
        <v>47108</v>
      </c>
      <c r="AJ4736" s="5" t="s">
        <v>3628</v>
      </c>
      <c r="AK4736" s="5" t="s">
        <v>3622</v>
      </c>
    </row>
    <row r="4737" spans="35:37">
      <c r="AI4737" s="468">
        <v>47109</v>
      </c>
      <c r="AJ4737" s="5" t="s">
        <v>3617</v>
      </c>
      <c r="AK4737" s="5" t="s">
        <v>3623</v>
      </c>
    </row>
    <row r="4738" spans="35:37">
      <c r="AI4738" s="468">
        <v>47110</v>
      </c>
      <c r="AJ4738" s="5" t="s">
        <v>3619</v>
      </c>
      <c r="AK4738" s="5" t="s">
        <v>3625</v>
      </c>
    </row>
    <row r="4739" spans="35:37">
      <c r="AI4739" s="468">
        <v>47111</v>
      </c>
      <c r="AJ4739" s="5" t="s">
        <v>3621</v>
      </c>
      <c r="AK4739" s="5" t="s">
        <v>3627</v>
      </c>
    </row>
    <row r="4740" spans="35:37">
      <c r="AI4740" s="468">
        <v>47112</v>
      </c>
      <c r="AJ4740" s="5" t="s">
        <v>3579</v>
      </c>
      <c r="AK4740" s="5" t="s">
        <v>3618</v>
      </c>
    </row>
    <row r="4741" spans="35:37">
      <c r="AI4741" s="468">
        <v>47113</v>
      </c>
      <c r="AJ4741" s="5" t="s">
        <v>3624</v>
      </c>
      <c r="AK4741" s="5" t="s">
        <v>3620</v>
      </c>
    </row>
    <row r="4742" spans="35:37">
      <c r="AI4742" s="468">
        <v>47114</v>
      </c>
      <c r="AJ4742" s="5" t="s">
        <v>3626</v>
      </c>
      <c r="AK4742" s="5" t="s">
        <v>3622</v>
      </c>
    </row>
    <row r="4743" spans="35:37">
      <c r="AI4743" s="468">
        <v>47115</v>
      </c>
      <c r="AJ4743" s="5" t="s">
        <v>3628</v>
      </c>
      <c r="AK4743" s="5" t="s">
        <v>3623</v>
      </c>
    </row>
    <row r="4744" spans="35:37">
      <c r="AI4744" s="468">
        <v>47116</v>
      </c>
      <c r="AJ4744" s="5" t="s">
        <v>3617</v>
      </c>
      <c r="AK4744" s="5" t="s">
        <v>3625</v>
      </c>
    </row>
    <row r="4745" spans="35:37">
      <c r="AI4745" s="468">
        <v>47117</v>
      </c>
      <c r="AJ4745" s="5" t="s">
        <v>3619</v>
      </c>
      <c r="AK4745" s="5" t="s">
        <v>3627</v>
      </c>
    </row>
    <row r="4746" spans="35:37">
      <c r="AI4746" s="468">
        <v>47118</v>
      </c>
      <c r="AJ4746" s="5" t="s">
        <v>3621</v>
      </c>
      <c r="AK4746" s="5" t="s">
        <v>3618</v>
      </c>
    </row>
    <row r="4747" spans="35:37">
      <c r="AI4747" s="468">
        <v>47119</v>
      </c>
      <c r="AJ4747" s="5" t="s">
        <v>3579</v>
      </c>
      <c r="AK4747" s="5" t="s">
        <v>3620</v>
      </c>
    </row>
    <row r="4748" spans="35:37">
      <c r="AI4748" s="468">
        <v>47120</v>
      </c>
      <c r="AJ4748" s="5" t="s">
        <v>3624</v>
      </c>
      <c r="AK4748" s="5" t="s">
        <v>3622</v>
      </c>
    </row>
    <row r="4749" spans="35:37">
      <c r="AI4749" s="468">
        <v>47121</v>
      </c>
      <c r="AJ4749" s="5" t="s">
        <v>3626</v>
      </c>
      <c r="AK4749" s="5" t="s">
        <v>3623</v>
      </c>
    </row>
    <row r="4750" spans="35:37">
      <c r="AI4750" s="468">
        <v>47122</v>
      </c>
      <c r="AJ4750" s="5" t="s">
        <v>3628</v>
      </c>
      <c r="AK4750" s="5" t="s">
        <v>3625</v>
      </c>
    </row>
    <row r="4751" spans="35:37">
      <c r="AI4751" s="468">
        <v>47123</v>
      </c>
      <c r="AJ4751" s="5" t="s">
        <v>3617</v>
      </c>
      <c r="AK4751" s="5" t="s">
        <v>3627</v>
      </c>
    </row>
    <row r="4752" spans="35:37">
      <c r="AI4752" s="468">
        <v>47124</v>
      </c>
      <c r="AJ4752" s="5" t="s">
        <v>3619</v>
      </c>
      <c r="AK4752" s="5" t="s">
        <v>3618</v>
      </c>
    </row>
    <row r="4753" spans="35:37">
      <c r="AI4753" s="468">
        <v>47125</v>
      </c>
      <c r="AJ4753" s="5" t="s">
        <v>3621</v>
      </c>
      <c r="AK4753" s="5" t="s">
        <v>3620</v>
      </c>
    </row>
    <row r="4754" spans="35:37">
      <c r="AI4754" s="468">
        <v>47126</v>
      </c>
      <c r="AJ4754" s="5" t="s">
        <v>3579</v>
      </c>
      <c r="AK4754" s="5" t="s">
        <v>3622</v>
      </c>
    </row>
    <row r="4755" spans="35:37">
      <c r="AI4755" s="468">
        <v>47127</v>
      </c>
      <c r="AJ4755" s="5" t="s">
        <v>3624</v>
      </c>
      <c r="AK4755" s="5" t="s">
        <v>3623</v>
      </c>
    </row>
    <row r="4756" spans="35:37">
      <c r="AI4756" s="468">
        <v>47128</v>
      </c>
      <c r="AJ4756" s="5" t="s">
        <v>3626</v>
      </c>
      <c r="AK4756" s="5" t="s">
        <v>3625</v>
      </c>
    </row>
    <row r="4757" spans="35:37">
      <c r="AI4757" s="468">
        <v>47129</v>
      </c>
      <c r="AJ4757" s="5" t="s">
        <v>3628</v>
      </c>
      <c r="AK4757" s="5" t="s">
        <v>3627</v>
      </c>
    </row>
    <row r="4758" spans="35:37">
      <c r="AI4758" s="468">
        <v>47130</v>
      </c>
      <c r="AJ4758" s="5" t="s">
        <v>3617</v>
      </c>
      <c r="AK4758" s="5" t="s">
        <v>3618</v>
      </c>
    </row>
    <row r="4759" spans="35:37">
      <c r="AI4759" s="468">
        <v>47131</v>
      </c>
      <c r="AJ4759" s="5" t="s">
        <v>3619</v>
      </c>
      <c r="AK4759" s="5" t="s">
        <v>3620</v>
      </c>
    </row>
    <row r="4760" spans="35:37">
      <c r="AI4760" s="468">
        <v>47132</v>
      </c>
      <c r="AJ4760" s="5" t="s">
        <v>3621</v>
      </c>
      <c r="AK4760" s="5" t="s">
        <v>3622</v>
      </c>
    </row>
    <row r="4761" spans="35:37">
      <c r="AI4761" s="468">
        <v>47133</v>
      </c>
      <c r="AJ4761" s="5" t="s">
        <v>3579</v>
      </c>
      <c r="AK4761" s="5" t="s">
        <v>3625</v>
      </c>
    </row>
    <row r="4762" spans="35:37">
      <c r="AI4762" s="468">
        <v>47134</v>
      </c>
      <c r="AJ4762" s="5" t="s">
        <v>3624</v>
      </c>
      <c r="AK4762" s="5" t="s">
        <v>3627</v>
      </c>
    </row>
    <row r="4763" spans="35:37">
      <c r="AI4763" s="468">
        <v>47135</v>
      </c>
      <c r="AJ4763" s="5" t="s">
        <v>3626</v>
      </c>
      <c r="AK4763" s="5" t="s">
        <v>3618</v>
      </c>
    </row>
    <row r="4764" spans="35:37">
      <c r="AI4764" s="468">
        <v>47136</v>
      </c>
      <c r="AJ4764" s="5" t="s">
        <v>3628</v>
      </c>
      <c r="AK4764" s="5" t="s">
        <v>3620</v>
      </c>
    </row>
    <row r="4765" spans="35:37">
      <c r="AI4765" s="468">
        <v>47137</v>
      </c>
      <c r="AJ4765" s="5" t="s">
        <v>3617</v>
      </c>
      <c r="AK4765" s="5" t="s">
        <v>3622</v>
      </c>
    </row>
    <row r="4766" spans="35:37">
      <c r="AI4766" s="468">
        <v>47138</v>
      </c>
      <c r="AJ4766" s="5" t="s">
        <v>3619</v>
      </c>
      <c r="AK4766" s="5" t="s">
        <v>3623</v>
      </c>
    </row>
    <row r="4767" spans="35:37">
      <c r="AI4767" s="468">
        <v>47139</v>
      </c>
      <c r="AJ4767" s="5" t="s">
        <v>3621</v>
      </c>
      <c r="AK4767" s="5" t="s">
        <v>3625</v>
      </c>
    </row>
    <row r="4768" spans="35:37">
      <c r="AI4768" s="468">
        <v>47140</v>
      </c>
      <c r="AJ4768" s="5" t="s">
        <v>3579</v>
      </c>
      <c r="AK4768" s="5" t="s">
        <v>3627</v>
      </c>
    </row>
    <row r="4769" spans="35:37">
      <c r="AI4769" s="468">
        <v>47141</v>
      </c>
      <c r="AJ4769" s="5" t="s">
        <v>3624</v>
      </c>
      <c r="AK4769" s="5" t="s">
        <v>3618</v>
      </c>
    </row>
    <row r="4770" spans="35:37">
      <c r="AI4770" s="468">
        <v>47142</v>
      </c>
      <c r="AJ4770" s="5" t="s">
        <v>3626</v>
      </c>
      <c r="AK4770" s="5" t="s">
        <v>3620</v>
      </c>
    </row>
    <row r="4771" spans="35:37">
      <c r="AI4771" s="468">
        <v>47143</v>
      </c>
      <c r="AJ4771" s="5" t="s">
        <v>3628</v>
      </c>
      <c r="AK4771" s="5" t="s">
        <v>3622</v>
      </c>
    </row>
    <row r="4772" spans="35:37">
      <c r="AI4772" s="468">
        <v>47144</v>
      </c>
      <c r="AJ4772" s="5" t="s">
        <v>3617</v>
      </c>
      <c r="AK4772" s="5" t="s">
        <v>3623</v>
      </c>
    </row>
    <row r="4773" spans="35:37">
      <c r="AI4773" s="468">
        <v>47145</v>
      </c>
      <c r="AJ4773" s="5" t="s">
        <v>3619</v>
      </c>
      <c r="AK4773" s="5" t="s">
        <v>3625</v>
      </c>
    </row>
    <row r="4774" spans="35:37">
      <c r="AI4774" s="468">
        <v>47146</v>
      </c>
      <c r="AJ4774" s="5" t="s">
        <v>3621</v>
      </c>
      <c r="AK4774" s="5" t="s">
        <v>3627</v>
      </c>
    </row>
    <row r="4775" spans="35:37">
      <c r="AI4775" s="468">
        <v>47147</v>
      </c>
      <c r="AJ4775" s="5" t="s">
        <v>3579</v>
      </c>
      <c r="AK4775" s="5" t="s">
        <v>3618</v>
      </c>
    </row>
    <row r="4776" spans="35:37">
      <c r="AI4776" s="468">
        <v>47148</v>
      </c>
      <c r="AJ4776" s="5" t="s">
        <v>3624</v>
      </c>
      <c r="AK4776" s="5" t="s">
        <v>3620</v>
      </c>
    </row>
    <row r="4777" spans="35:37">
      <c r="AI4777" s="468">
        <v>47149</v>
      </c>
      <c r="AJ4777" s="5" t="s">
        <v>3626</v>
      </c>
      <c r="AK4777" s="5" t="s">
        <v>3622</v>
      </c>
    </row>
    <row r="4778" spans="35:37">
      <c r="AI4778" s="468">
        <v>47150</v>
      </c>
      <c r="AJ4778" s="5" t="s">
        <v>3628</v>
      </c>
      <c r="AK4778" s="5" t="s">
        <v>3623</v>
      </c>
    </row>
    <row r="4779" spans="35:37">
      <c r="AI4779" s="468">
        <v>47151</v>
      </c>
      <c r="AJ4779" s="5" t="s">
        <v>3617</v>
      </c>
      <c r="AK4779" s="5" t="s">
        <v>3625</v>
      </c>
    </row>
    <row r="4780" spans="35:37">
      <c r="AI4780" s="468">
        <v>47152</v>
      </c>
      <c r="AJ4780" s="5" t="s">
        <v>3619</v>
      </c>
      <c r="AK4780" s="5" t="s">
        <v>3627</v>
      </c>
    </row>
    <row r="4781" spans="35:37">
      <c r="AI4781" s="468">
        <v>47153</v>
      </c>
      <c r="AJ4781" s="5" t="s">
        <v>3621</v>
      </c>
      <c r="AK4781" s="5" t="s">
        <v>3618</v>
      </c>
    </row>
    <row r="4782" spans="35:37">
      <c r="AI4782" s="468">
        <v>47154</v>
      </c>
      <c r="AJ4782" s="5" t="s">
        <v>3579</v>
      </c>
      <c r="AK4782" s="5" t="s">
        <v>3620</v>
      </c>
    </row>
    <row r="4783" spans="35:37">
      <c r="AI4783" s="468">
        <v>47155</v>
      </c>
      <c r="AJ4783" s="5" t="s">
        <v>3624</v>
      </c>
      <c r="AK4783" s="5" t="s">
        <v>3622</v>
      </c>
    </row>
    <row r="4784" spans="35:37">
      <c r="AI4784" s="468">
        <v>47156</v>
      </c>
      <c r="AJ4784" s="5" t="s">
        <v>3626</v>
      </c>
      <c r="AK4784" s="5" t="s">
        <v>3623</v>
      </c>
    </row>
    <row r="4785" spans="35:37">
      <c r="AI4785" s="468">
        <v>47157</v>
      </c>
      <c r="AJ4785" s="5" t="s">
        <v>3628</v>
      </c>
      <c r="AK4785" s="5" t="s">
        <v>3625</v>
      </c>
    </row>
    <row r="4786" spans="35:37">
      <c r="AI4786" s="468">
        <v>47158</v>
      </c>
      <c r="AJ4786" s="5" t="s">
        <v>3617</v>
      </c>
      <c r="AK4786" s="5" t="s">
        <v>3627</v>
      </c>
    </row>
    <row r="4787" spans="35:37">
      <c r="AI4787" s="468">
        <v>47159</v>
      </c>
      <c r="AJ4787" s="5" t="s">
        <v>3619</v>
      </c>
      <c r="AK4787" s="5" t="s">
        <v>3618</v>
      </c>
    </row>
    <row r="4788" spans="35:37">
      <c r="AI4788" s="468">
        <v>47160</v>
      </c>
      <c r="AJ4788" s="5" t="s">
        <v>3621</v>
      </c>
      <c r="AK4788" s="5" t="s">
        <v>3620</v>
      </c>
    </row>
    <row r="4789" spans="35:37">
      <c r="AI4789" s="468">
        <v>47161</v>
      </c>
      <c r="AJ4789" s="5" t="s">
        <v>3579</v>
      </c>
      <c r="AK4789" s="5" t="s">
        <v>3622</v>
      </c>
    </row>
    <row r="4790" spans="35:37">
      <c r="AI4790" s="468">
        <v>47162</v>
      </c>
      <c r="AJ4790" s="5" t="s">
        <v>3624</v>
      </c>
      <c r="AK4790" s="5" t="s">
        <v>3627</v>
      </c>
    </row>
    <row r="4791" spans="35:37">
      <c r="AI4791" s="468">
        <v>47163</v>
      </c>
      <c r="AJ4791" s="5" t="s">
        <v>3626</v>
      </c>
      <c r="AK4791" s="5" t="s">
        <v>3618</v>
      </c>
    </row>
    <row r="4792" spans="35:37">
      <c r="AI4792" s="468">
        <v>47164</v>
      </c>
      <c r="AJ4792" s="5" t="s">
        <v>3628</v>
      </c>
      <c r="AK4792" s="5" t="s">
        <v>3620</v>
      </c>
    </row>
    <row r="4793" spans="35:37">
      <c r="AI4793" s="468">
        <v>47165</v>
      </c>
      <c r="AJ4793" s="5" t="s">
        <v>3617</v>
      </c>
      <c r="AK4793" s="5" t="s">
        <v>3622</v>
      </c>
    </row>
    <row r="4794" spans="35:37">
      <c r="AI4794" s="468">
        <v>47166</v>
      </c>
      <c r="AJ4794" s="5" t="s">
        <v>3619</v>
      </c>
      <c r="AK4794" s="5" t="s">
        <v>3623</v>
      </c>
    </row>
    <row r="4795" spans="35:37">
      <c r="AI4795" s="468">
        <v>47167</v>
      </c>
      <c r="AJ4795" s="5" t="s">
        <v>3621</v>
      </c>
      <c r="AK4795" s="5" t="s">
        <v>3625</v>
      </c>
    </row>
    <row r="4796" spans="35:37">
      <c r="AI4796" s="468">
        <v>47168</v>
      </c>
      <c r="AJ4796" s="5" t="s">
        <v>3579</v>
      </c>
      <c r="AK4796" s="5" t="s">
        <v>3627</v>
      </c>
    </row>
    <row r="4797" spans="35:37">
      <c r="AI4797" s="468">
        <v>47169</v>
      </c>
      <c r="AJ4797" s="5" t="s">
        <v>3624</v>
      </c>
      <c r="AK4797" s="5" t="s">
        <v>3618</v>
      </c>
    </row>
    <row r="4798" spans="35:37">
      <c r="AI4798" s="468">
        <v>47170</v>
      </c>
      <c r="AJ4798" s="5" t="s">
        <v>3626</v>
      </c>
      <c r="AK4798" s="5" t="s">
        <v>3620</v>
      </c>
    </row>
    <row r="4799" spans="35:37">
      <c r="AI4799" s="468">
        <v>47171</v>
      </c>
      <c r="AJ4799" s="5" t="s">
        <v>3628</v>
      </c>
      <c r="AK4799" s="5" t="s">
        <v>3622</v>
      </c>
    </row>
    <row r="4800" spans="35:37">
      <c r="AI4800" s="468">
        <v>47172</v>
      </c>
      <c r="AJ4800" s="5" t="s">
        <v>3617</v>
      </c>
      <c r="AK4800" s="5" t="s">
        <v>3623</v>
      </c>
    </row>
    <row r="4801" spans="35:37">
      <c r="AI4801" s="468">
        <v>47173</v>
      </c>
      <c r="AJ4801" s="5" t="s">
        <v>3619</v>
      </c>
      <c r="AK4801" s="5" t="s">
        <v>3625</v>
      </c>
    </row>
    <row r="4802" spans="35:37">
      <c r="AI4802" s="468">
        <v>47174</v>
      </c>
      <c r="AJ4802" s="5" t="s">
        <v>3621</v>
      </c>
      <c r="AK4802" s="5" t="s">
        <v>3627</v>
      </c>
    </row>
    <row r="4803" spans="35:37">
      <c r="AI4803" s="468">
        <v>47175</v>
      </c>
      <c r="AJ4803" s="5" t="s">
        <v>3579</v>
      </c>
      <c r="AK4803" s="5" t="s">
        <v>3618</v>
      </c>
    </row>
    <row r="4804" spans="35:37">
      <c r="AI4804" s="468">
        <v>47176</v>
      </c>
      <c r="AJ4804" s="5" t="s">
        <v>3624</v>
      </c>
      <c r="AK4804" s="5" t="s">
        <v>3620</v>
      </c>
    </row>
    <row r="4805" spans="35:37">
      <c r="AI4805" s="468">
        <v>47177</v>
      </c>
      <c r="AJ4805" s="5" t="s">
        <v>3626</v>
      </c>
      <c r="AK4805" s="5" t="s">
        <v>3622</v>
      </c>
    </row>
    <row r="4806" spans="35:37">
      <c r="AI4806" s="468">
        <v>47178</v>
      </c>
      <c r="AJ4806" s="5" t="s">
        <v>3628</v>
      </c>
      <c r="AK4806" s="5" t="s">
        <v>3623</v>
      </c>
    </row>
    <row r="4807" spans="35:37">
      <c r="AI4807" s="468">
        <v>47179</v>
      </c>
      <c r="AJ4807" s="5" t="s">
        <v>3617</v>
      </c>
      <c r="AK4807" s="5" t="s">
        <v>3625</v>
      </c>
    </row>
    <row r="4808" spans="35:37">
      <c r="AI4808" s="468">
        <v>47180</v>
      </c>
      <c r="AJ4808" s="5" t="s">
        <v>3619</v>
      </c>
      <c r="AK4808" s="5" t="s">
        <v>3627</v>
      </c>
    </row>
    <row r="4809" spans="35:37">
      <c r="AI4809" s="468">
        <v>47181</v>
      </c>
      <c r="AJ4809" s="5" t="s">
        <v>3621</v>
      </c>
      <c r="AK4809" s="5" t="s">
        <v>3618</v>
      </c>
    </row>
    <row r="4810" spans="35:37">
      <c r="AI4810" s="468">
        <v>47182</v>
      </c>
      <c r="AJ4810" s="5" t="s">
        <v>3579</v>
      </c>
      <c r="AK4810" s="5" t="s">
        <v>3620</v>
      </c>
    </row>
    <row r="4811" spans="35:37">
      <c r="AI4811" s="468">
        <v>47183</v>
      </c>
      <c r="AJ4811" s="5" t="s">
        <v>3624</v>
      </c>
      <c r="AK4811" s="5" t="s">
        <v>3622</v>
      </c>
    </row>
    <row r="4812" spans="35:37">
      <c r="AI4812" s="468">
        <v>47184</v>
      </c>
      <c r="AJ4812" s="5" t="s">
        <v>3626</v>
      </c>
      <c r="AK4812" s="5" t="s">
        <v>3623</v>
      </c>
    </row>
    <row r="4813" spans="35:37">
      <c r="AI4813" s="468">
        <v>47185</v>
      </c>
      <c r="AJ4813" s="5" t="s">
        <v>3628</v>
      </c>
      <c r="AK4813" s="5" t="s">
        <v>3625</v>
      </c>
    </row>
    <row r="4814" spans="35:37">
      <c r="AI4814" s="468">
        <v>47186</v>
      </c>
      <c r="AJ4814" s="5" t="s">
        <v>3617</v>
      </c>
      <c r="AK4814" s="5" t="s">
        <v>3627</v>
      </c>
    </row>
    <row r="4815" spans="35:37">
      <c r="AI4815" s="468">
        <v>47187</v>
      </c>
      <c r="AJ4815" s="5" t="s">
        <v>3619</v>
      </c>
      <c r="AK4815" s="5" t="s">
        <v>3618</v>
      </c>
    </row>
    <row r="4816" spans="35:37">
      <c r="AI4816" s="468">
        <v>47188</v>
      </c>
      <c r="AJ4816" s="5" t="s">
        <v>3621</v>
      </c>
      <c r="AK4816" s="5" t="s">
        <v>3620</v>
      </c>
    </row>
    <row r="4817" spans="35:37">
      <c r="AI4817" s="468">
        <v>47189</v>
      </c>
      <c r="AJ4817" s="5" t="s">
        <v>3579</v>
      </c>
      <c r="AK4817" s="5" t="s">
        <v>3622</v>
      </c>
    </row>
    <row r="4818" spans="35:37">
      <c r="AI4818" s="468">
        <v>47190</v>
      </c>
      <c r="AJ4818" s="5" t="s">
        <v>3624</v>
      </c>
      <c r="AK4818" s="5" t="s">
        <v>3623</v>
      </c>
    </row>
    <row r="4819" spans="35:37">
      <c r="AI4819" s="468">
        <v>47191</v>
      </c>
      <c r="AJ4819" s="5" t="s">
        <v>3626</v>
      </c>
      <c r="AK4819" s="5" t="s">
        <v>3625</v>
      </c>
    </row>
    <row r="4820" spans="35:37">
      <c r="AI4820" s="468">
        <v>47192</v>
      </c>
      <c r="AJ4820" s="5" t="s">
        <v>3628</v>
      </c>
      <c r="AK4820" s="5" t="s">
        <v>3618</v>
      </c>
    </row>
    <row r="4821" spans="35:37">
      <c r="AI4821" s="468">
        <v>47193</v>
      </c>
      <c r="AJ4821" s="5" t="s">
        <v>3617</v>
      </c>
      <c r="AK4821" s="5" t="s">
        <v>3620</v>
      </c>
    </row>
    <row r="4822" spans="35:37">
      <c r="AI4822" s="468">
        <v>47194</v>
      </c>
      <c r="AJ4822" s="5" t="s">
        <v>3619</v>
      </c>
      <c r="AK4822" s="5" t="s">
        <v>3622</v>
      </c>
    </row>
    <row r="4823" spans="35:37">
      <c r="AI4823" s="468">
        <v>47195</v>
      </c>
      <c r="AJ4823" s="5" t="s">
        <v>3621</v>
      </c>
      <c r="AK4823" s="5" t="s">
        <v>3623</v>
      </c>
    </row>
    <row r="4824" spans="35:37">
      <c r="AI4824" s="468">
        <v>47196</v>
      </c>
      <c r="AJ4824" s="5" t="s">
        <v>3579</v>
      </c>
      <c r="AK4824" s="5" t="s">
        <v>3625</v>
      </c>
    </row>
    <row r="4825" spans="35:37">
      <c r="AI4825" s="468">
        <v>47197</v>
      </c>
      <c r="AJ4825" s="5" t="s">
        <v>3624</v>
      </c>
      <c r="AK4825" s="5" t="s">
        <v>3627</v>
      </c>
    </row>
    <row r="4826" spans="35:37">
      <c r="AI4826" s="468">
        <v>47198</v>
      </c>
      <c r="AJ4826" s="5" t="s">
        <v>3626</v>
      </c>
      <c r="AK4826" s="5" t="s">
        <v>3618</v>
      </c>
    </row>
    <row r="4827" spans="35:37">
      <c r="AI4827" s="468">
        <v>47199</v>
      </c>
      <c r="AJ4827" s="5" t="s">
        <v>3628</v>
      </c>
      <c r="AK4827" s="5" t="s">
        <v>3620</v>
      </c>
    </row>
    <row r="4828" spans="35:37">
      <c r="AI4828" s="468">
        <v>47200</v>
      </c>
      <c r="AJ4828" s="5" t="s">
        <v>3617</v>
      </c>
      <c r="AK4828" s="5" t="s">
        <v>3622</v>
      </c>
    </row>
    <row r="4829" spans="35:37">
      <c r="AI4829" s="468">
        <v>47201</v>
      </c>
      <c r="AJ4829" s="5" t="s">
        <v>3619</v>
      </c>
      <c r="AK4829" s="5" t="s">
        <v>3623</v>
      </c>
    </row>
    <row r="4830" spans="35:37">
      <c r="AI4830" s="468">
        <v>47202</v>
      </c>
      <c r="AJ4830" s="5" t="s">
        <v>3621</v>
      </c>
      <c r="AK4830" s="5" t="s">
        <v>3625</v>
      </c>
    </row>
    <row r="4831" spans="35:37">
      <c r="AI4831" s="468">
        <v>47203</v>
      </c>
      <c r="AJ4831" s="5" t="s">
        <v>3579</v>
      </c>
      <c r="AK4831" s="5" t="s">
        <v>3627</v>
      </c>
    </row>
    <row r="4832" spans="35:37">
      <c r="AI4832" s="468">
        <v>47204</v>
      </c>
      <c r="AJ4832" s="5" t="s">
        <v>3624</v>
      </c>
      <c r="AK4832" s="5" t="s">
        <v>3618</v>
      </c>
    </row>
    <row r="4833" spans="35:37">
      <c r="AI4833" s="468">
        <v>47205</v>
      </c>
      <c r="AJ4833" s="5" t="s">
        <v>3626</v>
      </c>
      <c r="AK4833" s="5" t="s">
        <v>3620</v>
      </c>
    </row>
    <row r="4834" spans="35:37">
      <c r="AI4834" s="468">
        <v>47206</v>
      </c>
      <c r="AJ4834" s="5" t="s">
        <v>3628</v>
      </c>
      <c r="AK4834" s="5" t="s">
        <v>3622</v>
      </c>
    </row>
    <row r="4835" spans="35:37">
      <c r="AI4835" s="468">
        <v>47207</v>
      </c>
      <c r="AJ4835" s="5" t="s">
        <v>3617</v>
      </c>
      <c r="AK4835" s="5" t="s">
        <v>3623</v>
      </c>
    </row>
    <row r="4836" spans="35:37">
      <c r="AI4836" s="468">
        <v>47208</v>
      </c>
      <c r="AJ4836" s="5" t="s">
        <v>3619</v>
      </c>
      <c r="AK4836" s="5" t="s">
        <v>3625</v>
      </c>
    </row>
    <row r="4837" spans="35:37">
      <c r="AI4837" s="468">
        <v>47209</v>
      </c>
      <c r="AJ4837" s="5" t="s">
        <v>3621</v>
      </c>
      <c r="AK4837" s="5" t="s">
        <v>3627</v>
      </c>
    </row>
    <row r="4838" spans="35:37">
      <c r="AI4838" s="468">
        <v>47210</v>
      </c>
      <c r="AJ4838" s="5" t="s">
        <v>3579</v>
      </c>
      <c r="AK4838" s="5" t="s">
        <v>3618</v>
      </c>
    </row>
    <row r="4839" spans="35:37">
      <c r="AI4839" s="468">
        <v>47211</v>
      </c>
      <c r="AJ4839" s="5" t="s">
        <v>3624</v>
      </c>
      <c r="AK4839" s="5" t="s">
        <v>3620</v>
      </c>
    </row>
    <row r="4840" spans="35:37">
      <c r="AI4840" s="468">
        <v>47212</v>
      </c>
      <c r="AJ4840" s="5" t="s">
        <v>3626</v>
      </c>
      <c r="AK4840" s="5" t="s">
        <v>3622</v>
      </c>
    </row>
    <row r="4841" spans="35:37">
      <c r="AI4841" s="468">
        <v>47213</v>
      </c>
      <c r="AJ4841" s="5" t="s">
        <v>3628</v>
      </c>
      <c r="AK4841" s="5" t="s">
        <v>3623</v>
      </c>
    </row>
    <row r="4842" spans="35:37">
      <c r="AI4842" s="468">
        <v>47214</v>
      </c>
      <c r="AJ4842" s="5" t="s">
        <v>3617</v>
      </c>
      <c r="AK4842" s="5" t="s">
        <v>3625</v>
      </c>
    </row>
    <row r="4843" spans="35:37">
      <c r="AI4843" s="468">
        <v>47215</v>
      </c>
      <c r="AJ4843" s="5" t="s">
        <v>3619</v>
      </c>
      <c r="AK4843" s="5" t="s">
        <v>3627</v>
      </c>
    </row>
    <row r="4844" spans="35:37">
      <c r="AI4844" s="468">
        <v>47216</v>
      </c>
      <c r="AJ4844" s="5" t="s">
        <v>3621</v>
      </c>
      <c r="AK4844" s="5" t="s">
        <v>3618</v>
      </c>
    </row>
    <row r="4845" spans="35:37">
      <c r="AI4845" s="468">
        <v>47217</v>
      </c>
      <c r="AJ4845" s="5" t="s">
        <v>3579</v>
      </c>
      <c r="AK4845" s="5" t="s">
        <v>3620</v>
      </c>
    </row>
    <row r="4846" spans="35:37">
      <c r="AI4846" s="468">
        <v>47218</v>
      </c>
      <c r="AJ4846" s="5" t="s">
        <v>3624</v>
      </c>
      <c r="AK4846" s="5" t="s">
        <v>3622</v>
      </c>
    </row>
    <row r="4847" spans="35:37">
      <c r="AI4847" s="468">
        <v>47219</v>
      </c>
      <c r="AJ4847" s="5" t="s">
        <v>3626</v>
      </c>
      <c r="AK4847" s="5" t="s">
        <v>3623</v>
      </c>
    </row>
    <row r="4848" spans="35:37">
      <c r="AI4848" s="468">
        <v>47220</v>
      </c>
      <c r="AJ4848" s="5" t="s">
        <v>3628</v>
      </c>
      <c r="AK4848" s="5" t="s">
        <v>3625</v>
      </c>
    </row>
    <row r="4849" spans="35:37">
      <c r="AI4849" s="468">
        <v>47221</v>
      </c>
      <c r="AJ4849" s="5" t="s">
        <v>3617</v>
      </c>
      <c r="AK4849" s="5" t="s">
        <v>3627</v>
      </c>
    </row>
    <row r="4850" spans="35:37">
      <c r="AI4850" s="468">
        <v>47222</v>
      </c>
      <c r="AJ4850" s="5" t="s">
        <v>3619</v>
      </c>
      <c r="AK4850" s="5" t="s">
        <v>3620</v>
      </c>
    </row>
    <row r="4851" spans="35:37">
      <c r="AI4851" s="468">
        <v>47223</v>
      </c>
      <c r="AJ4851" s="5" t="s">
        <v>3621</v>
      </c>
      <c r="AK4851" s="5" t="s">
        <v>3622</v>
      </c>
    </row>
    <row r="4852" spans="35:37">
      <c r="AI4852" s="468">
        <v>47224</v>
      </c>
      <c r="AJ4852" s="5" t="s">
        <v>3579</v>
      </c>
      <c r="AK4852" s="5" t="s">
        <v>3623</v>
      </c>
    </row>
    <row r="4853" spans="35:37">
      <c r="AI4853" s="468">
        <v>47225</v>
      </c>
      <c r="AJ4853" s="5" t="s">
        <v>3624</v>
      </c>
      <c r="AK4853" s="5" t="s">
        <v>3625</v>
      </c>
    </row>
    <row r="4854" spans="35:37">
      <c r="AI4854" s="468">
        <v>47226</v>
      </c>
      <c r="AJ4854" s="5" t="s">
        <v>3626</v>
      </c>
      <c r="AK4854" s="5" t="s">
        <v>3627</v>
      </c>
    </row>
    <row r="4855" spans="35:37">
      <c r="AI4855" s="468">
        <v>47227</v>
      </c>
      <c r="AJ4855" s="5" t="s">
        <v>3628</v>
      </c>
      <c r="AK4855" s="5" t="s">
        <v>3618</v>
      </c>
    </row>
    <row r="4856" spans="35:37">
      <c r="AI4856" s="468">
        <v>47228</v>
      </c>
      <c r="AJ4856" s="5" t="s">
        <v>3617</v>
      </c>
      <c r="AK4856" s="5" t="s">
        <v>3620</v>
      </c>
    </row>
    <row r="4857" spans="35:37">
      <c r="AI4857" s="468">
        <v>47229</v>
      </c>
      <c r="AJ4857" s="5" t="s">
        <v>3619</v>
      </c>
      <c r="AK4857" s="5" t="s">
        <v>3622</v>
      </c>
    </row>
    <row r="4858" spans="35:37">
      <c r="AI4858" s="468">
        <v>47230</v>
      </c>
      <c r="AJ4858" s="5" t="s">
        <v>3621</v>
      </c>
      <c r="AK4858" s="5" t="s">
        <v>3623</v>
      </c>
    </row>
    <row r="4859" spans="35:37">
      <c r="AI4859" s="468">
        <v>47231</v>
      </c>
      <c r="AJ4859" s="5" t="s">
        <v>3579</v>
      </c>
      <c r="AK4859" s="5" t="s">
        <v>3625</v>
      </c>
    </row>
    <row r="4860" spans="35:37">
      <c r="AI4860" s="468">
        <v>47232</v>
      </c>
      <c r="AJ4860" s="5" t="s">
        <v>3624</v>
      </c>
      <c r="AK4860" s="5" t="s">
        <v>3627</v>
      </c>
    </row>
    <row r="4861" spans="35:37">
      <c r="AI4861" s="468">
        <v>47233</v>
      </c>
      <c r="AJ4861" s="5" t="s">
        <v>3626</v>
      </c>
      <c r="AK4861" s="5" t="s">
        <v>3618</v>
      </c>
    </row>
    <row r="4862" spans="35:37">
      <c r="AI4862" s="468">
        <v>47234</v>
      </c>
      <c r="AJ4862" s="5" t="s">
        <v>3628</v>
      </c>
      <c r="AK4862" s="5" t="s">
        <v>3620</v>
      </c>
    </row>
    <row r="4863" spans="35:37">
      <c r="AI4863" s="468">
        <v>47235</v>
      </c>
      <c r="AJ4863" s="5" t="s">
        <v>3617</v>
      </c>
      <c r="AK4863" s="5" t="s">
        <v>3622</v>
      </c>
    </row>
    <row r="4864" spans="35:37">
      <c r="AI4864" s="468">
        <v>47236</v>
      </c>
      <c r="AJ4864" s="5" t="s">
        <v>3619</v>
      </c>
      <c r="AK4864" s="5" t="s">
        <v>3623</v>
      </c>
    </row>
    <row r="4865" spans="35:37">
      <c r="AI4865" s="468">
        <v>47237</v>
      </c>
      <c r="AJ4865" s="5" t="s">
        <v>3621</v>
      </c>
      <c r="AK4865" s="5" t="s">
        <v>3625</v>
      </c>
    </row>
    <row r="4866" spans="35:37">
      <c r="AI4866" s="468">
        <v>47238</v>
      </c>
      <c r="AJ4866" s="5" t="s">
        <v>3579</v>
      </c>
      <c r="AK4866" s="5" t="s">
        <v>3627</v>
      </c>
    </row>
    <row r="4867" spans="35:37">
      <c r="AI4867" s="468">
        <v>47239</v>
      </c>
      <c r="AJ4867" s="5" t="s">
        <v>3624</v>
      </c>
      <c r="AK4867" s="5" t="s">
        <v>3618</v>
      </c>
    </row>
    <row r="4868" spans="35:37">
      <c r="AI4868" s="468">
        <v>47240</v>
      </c>
      <c r="AJ4868" s="5" t="s">
        <v>3626</v>
      </c>
      <c r="AK4868" s="5" t="s">
        <v>3620</v>
      </c>
    </row>
    <row r="4869" spans="35:37">
      <c r="AI4869" s="468">
        <v>47241</v>
      </c>
      <c r="AJ4869" s="5" t="s">
        <v>3628</v>
      </c>
      <c r="AK4869" s="5" t="s">
        <v>3622</v>
      </c>
    </row>
    <row r="4870" spans="35:37">
      <c r="AI4870" s="468">
        <v>47242</v>
      </c>
      <c r="AJ4870" s="5" t="s">
        <v>3617</v>
      </c>
      <c r="AK4870" s="5" t="s">
        <v>3623</v>
      </c>
    </row>
    <row r="4871" spans="35:37">
      <c r="AI4871" s="468">
        <v>47243</v>
      </c>
      <c r="AJ4871" s="5" t="s">
        <v>3619</v>
      </c>
      <c r="AK4871" s="5" t="s">
        <v>3625</v>
      </c>
    </row>
    <row r="4872" spans="35:37">
      <c r="AI4872" s="468">
        <v>47244</v>
      </c>
      <c r="AJ4872" s="5" t="s">
        <v>3621</v>
      </c>
      <c r="AK4872" s="5" t="s">
        <v>3627</v>
      </c>
    </row>
    <row r="4873" spans="35:37">
      <c r="AI4873" s="468">
        <v>47245</v>
      </c>
      <c r="AJ4873" s="5" t="s">
        <v>3579</v>
      </c>
      <c r="AK4873" s="5" t="s">
        <v>3618</v>
      </c>
    </row>
    <row r="4874" spans="35:37">
      <c r="AI4874" s="468">
        <v>47246</v>
      </c>
      <c r="AJ4874" s="5" t="s">
        <v>3624</v>
      </c>
      <c r="AK4874" s="5" t="s">
        <v>3620</v>
      </c>
    </row>
    <row r="4875" spans="35:37">
      <c r="AI4875" s="468">
        <v>47247</v>
      </c>
      <c r="AJ4875" s="5" t="s">
        <v>3626</v>
      </c>
      <c r="AK4875" s="5" t="s">
        <v>3622</v>
      </c>
    </row>
    <row r="4876" spans="35:37">
      <c r="AI4876" s="468">
        <v>47248</v>
      </c>
      <c r="AJ4876" s="5" t="s">
        <v>3628</v>
      </c>
      <c r="AK4876" s="5" t="s">
        <v>3623</v>
      </c>
    </row>
    <row r="4877" spans="35:37">
      <c r="AI4877" s="468">
        <v>47249</v>
      </c>
      <c r="AJ4877" s="5" t="s">
        <v>3617</v>
      </c>
      <c r="AK4877" s="5" t="s">
        <v>3625</v>
      </c>
    </row>
    <row r="4878" spans="35:37">
      <c r="AI4878" s="468">
        <v>47250</v>
      </c>
      <c r="AJ4878" s="5" t="s">
        <v>3619</v>
      </c>
      <c r="AK4878" s="5" t="s">
        <v>3627</v>
      </c>
    </row>
    <row r="4879" spans="35:37">
      <c r="AI4879" s="468">
        <v>47251</v>
      </c>
      <c r="AJ4879" s="5" t="s">
        <v>3621</v>
      </c>
      <c r="AK4879" s="5" t="s">
        <v>3622</v>
      </c>
    </row>
    <row r="4880" spans="35:37">
      <c r="AI4880" s="468">
        <v>47252</v>
      </c>
      <c r="AJ4880" s="5" t="s">
        <v>3579</v>
      </c>
      <c r="AK4880" s="5" t="s">
        <v>3623</v>
      </c>
    </row>
    <row r="4881" spans="35:37">
      <c r="AI4881" s="468">
        <v>47253</v>
      </c>
      <c r="AJ4881" s="5" t="s">
        <v>3624</v>
      </c>
      <c r="AK4881" s="5" t="s">
        <v>3625</v>
      </c>
    </row>
    <row r="4882" spans="35:37">
      <c r="AI4882" s="468">
        <v>47254</v>
      </c>
      <c r="AJ4882" s="5" t="s">
        <v>3626</v>
      </c>
      <c r="AK4882" s="5" t="s">
        <v>3627</v>
      </c>
    </row>
    <row r="4883" spans="35:37">
      <c r="AI4883" s="468">
        <v>47255</v>
      </c>
      <c r="AJ4883" s="5" t="s">
        <v>3628</v>
      </c>
      <c r="AK4883" s="5" t="s">
        <v>3618</v>
      </c>
    </row>
    <row r="4884" spans="35:37">
      <c r="AI4884" s="468">
        <v>47256</v>
      </c>
      <c r="AJ4884" s="5" t="s">
        <v>3617</v>
      </c>
      <c r="AK4884" s="5" t="s">
        <v>3620</v>
      </c>
    </row>
    <row r="4885" spans="35:37">
      <c r="AI4885" s="468">
        <v>47257</v>
      </c>
      <c r="AJ4885" s="5" t="s">
        <v>3619</v>
      </c>
      <c r="AK4885" s="5" t="s">
        <v>3622</v>
      </c>
    </row>
    <row r="4886" spans="35:37">
      <c r="AI4886" s="468">
        <v>47258</v>
      </c>
      <c r="AJ4886" s="5" t="s">
        <v>3621</v>
      </c>
      <c r="AK4886" s="5" t="s">
        <v>3623</v>
      </c>
    </row>
    <row r="4887" spans="35:37">
      <c r="AI4887" s="468">
        <v>47259</v>
      </c>
      <c r="AJ4887" s="5" t="s">
        <v>3579</v>
      </c>
      <c r="AK4887" s="5" t="s">
        <v>3625</v>
      </c>
    </row>
    <row r="4888" spans="35:37">
      <c r="AI4888" s="468">
        <v>47260</v>
      </c>
      <c r="AJ4888" s="5" t="s">
        <v>3624</v>
      </c>
      <c r="AK4888" s="5" t="s">
        <v>3627</v>
      </c>
    </row>
    <row r="4889" spans="35:37">
      <c r="AI4889" s="468">
        <v>47261</v>
      </c>
      <c r="AJ4889" s="5" t="s">
        <v>3626</v>
      </c>
      <c r="AK4889" s="5" t="s">
        <v>3618</v>
      </c>
    </row>
    <row r="4890" spans="35:37">
      <c r="AI4890" s="468">
        <v>47262</v>
      </c>
      <c r="AJ4890" s="5" t="s">
        <v>3628</v>
      </c>
      <c r="AK4890" s="5" t="s">
        <v>3620</v>
      </c>
    </row>
    <row r="4891" spans="35:37">
      <c r="AI4891" s="468">
        <v>47263</v>
      </c>
      <c r="AJ4891" s="5" t="s">
        <v>3617</v>
      </c>
      <c r="AK4891" s="5" t="s">
        <v>3622</v>
      </c>
    </row>
    <row r="4892" spans="35:37">
      <c r="AI4892" s="468">
        <v>47264</v>
      </c>
      <c r="AJ4892" s="5" t="s">
        <v>3619</v>
      </c>
      <c r="AK4892" s="5" t="s">
        <v>3623</v>
      </c>
    </row>
    <row r="4893" spans="35:37">
      <c r="AI4893" s="468">
        <v>47265</v>
      </c>
      <c r="AJ4893" s="5" t="s">
        <v>3621</v>
      </c>
      <c r="AK4893" s="5" t="s">
        <v>3625</v>
      </c>
    </row>
    <row r="4894" spans="35:37">
      <c r="AI4894" s="468">
        <v>47266</v>
      </c>
      <c r="AJ4894" s="5" t="s">
        <v>3579</v>
      </c>
      <c r="AK4894" s="5" t="s">
        <v>3627</v>
      </c>
    </row>
    <row r="4895" spans="35:37">
      <c r="AI4895" s="468">
        <v>47267</v>
      </c>
      <c r="AJ4895" s="5" t="s">
        <v>3624</v>
      </c>
      <c r="AK4895" s="5" t="s">
        <v>3618</v>
      </c>
    </row>
    <row r="4896" spans="35:37">
      <c r="AI4896" s="468">
        <v>47268</v>
      </c>
      <c r="AJ4896" s="5" t="s">
        <v>3626</v>
      </c>
      <c r="AK4896" s="5" t="s">
        <v>3620</v>
      </c>
    </row>
    <row r="4897" spans="35:37">
      <c r="AI4897" s="468">
        <v>47269</v>
      </c>
      <c r="AJ4897" s="5" t="s">
        <v>3628</v>
      </c>
      <c r="AK4897" s="5" t="s">
        <v>3622</v>
      </c>
    </row>
    <row r="4898" spans="35:37">
      <c r="AI4898" s="468">
        <v>47270</v>
      </c>
      <c r="AJ4898" s="5" t="s">
        <v>3617</v>
      </c>
      <c r="AK4898" s="5" t="s">
        <v>3623</v>
      </c>
    </row>
    <row r="4899" spans="35:37">
      <c r="AI4899" s="468">
        <v>47271</v>
      </c>
      <c r="AJ4899" s="5" t="s">
        <v>3619</v>
      </c>
      <c r="AK4899" s="5" t="s">
        <v>3625</v>
      </c>
    </row>
    <row r="4900" spans="35:37">
      <c r="AI4900" s="468">
        <v>47272</v>
      </c>
      <c r="AJ4900" s="5" t="s">
        <v>3621</v>
      </c>
      <c r="AK4900" s="5" t="s">
        <v>3627</v>
      </c>
    </row>
    <row r="4901" spans="35:37">
      <c r="AI4901" s="468">
        <v>47273</v>
      </c>
      <c r="AJ4901" s="5" t="s">
        <v>3579</v>
      </c>
      <c r="AK4901" s="5" t="s">
        <v>3618</v>
      </c>
    </row>
    <row r="4902" spans="35:37">
      <c r="AI4902" s="468">
        <v>47274</v>
      </c>
      <c r="AJ4902" s="5" t="s">
        <v>3624</v>
      </c>
      <c r="AK4902" s="5" t="s">
        <v>3620</v>
      </c>
    </row>
    <row r="4903" spans="35:37">
      <c r="AI4903" s="468">
        <v>47275</v>
      </c>
      <c r="AJ4903" s="5" t="s">
        <v>3626</v>
      </c>
      <c r="AK4903" s="5" t="s">
        <v>3622</v>
      </c>
    </row>
    <row r="4904" spans="35:37">
      <c r="AI4904" s="468">
        <v>47276</v>
      </c>
      <c r="AJ4904" s="5" t="s">
        <v>3628</v>
      </c>
      <c r="AK4904" s="5" t="s">
        <v>3623</v>
      </c>
    </row>
    <row r="4905" spans="35:37">
      <c r="AI4905" s="468">
        <v>47277</v>
      </c>
      <c r="AJ4905" s="5" t="s">
        <v>3617</v>
      </c>
      <c r="AK4905" s="5" t="s">
        <v>3625</v>
      </c>
    </row>
    <row r="4906" spans="35:37">
      <c r="AI4906" s="468">
        <v>47278</v>
      </c>
      <c r="AJ4906" s="5" t="s">
        <v>3619</v>
      </c>
      <c r="AK4906" s="5" t="s">
        <v>3627</v>
      </c>
    </row>
    <row r="4907" spans="35:37">
      <c r="AI4907" s="468">
        <v>47279</v>
      </c>
      <c r="AJ4907" s="5" t="s">
        <v>3621</v>
      </c>
      <c r="AK4907" s="5" t="s">
        <v>3618</v>
      </c>
    </row>
    <row r="4908" spans="35:37">
      <c r="AI4908" s="468">
        <v>47280</v>
      </c>
      <c r="AJ4908" s="5" t="s">
        <v>3579</v>
      </c>
      <c r="AK4908" s="5" t="s">
        <v>3620</v>
      </c>
    </row>
    <row r="4909" spans="35:37">
      <c r="AI4909" s="468">
        <v>47281</v>
      </c>
      <c r="AJ4909" s="5" t="s">
        <v>3624</v>
      </c>
      <c r="AK4909" s="5" t="s">
        <v>3623</v>
      </c>
    </row>
    <row r="4910" spans="35:37">
      <c r="AI4910" s="468">
        <v>47282</v>
      </c>
      <c r="AJ4910" s="5" t="s">
        <v>3626</v>
      </c>
      <c r="AK4910" s="5" t="s">
        <v>3625</v>
      </c>
    </row>
    <row r="4911" spans="35:37">
      <c r="AI4911" s="468">
        <v>47283</v>
      </c>
      <c r="AJ4911" s="5" t="s">
        <v>3628</v>
      </c>
      <c r="AK4911" s="5" t="s">
        <v>3627</v>
      </c>
    </row>
    <row r="4912" spans="35:37">
      <c r="AI4912" s="468">
        <v>47284</v>
      </c>
      <c r="AJ4912" s="5" t="s">
        <v>3617</v>
      </c>
      <c r="AK4912" s="5" t="s">
        <v>3618</v>
      </c>
    </row>
    <row r="4913" spans="35:37">
      <c r="AI4913" s="468">
        <v>47285</v>
      </c>
      <c r="AJ4913" s="5" t="s">
        <v>3619</v>
      </c>
      <c r="AK4913" s="5" t="s">
        <v>3620</v>
      </c>
    </row>
    <row r="4914" spans="35:37">
      <c r="AI4914" s="468">
        <v>47286</v>
      </c>
      <c r="AJ4914" s="5" t="s">
        <v>3621</v>
      </c>
      <c r="AK4914" s="5" t="s">
        <v>3622</v>
      </c>
    </row>
    <row r="4915" spans="35:37">
      <c r="AI4915" s="468">
        <v>47287</v>
      </c>
      <c r="AJ4915" s="5" t="s">
        <v>3579</v>
      </c>
      <c r="AK4915" s="5" t="s">
        <v>3623</v>
      </c>
    </row>
    <row r="4916" spans="35:37">
      <c r="AI4916" s="468">
        <v>47288</v>
      </c>
      <c r="AJ4916" s="5" t="s">
        <v>3624</v>
      </c>
      <c r="AK4916" s="5" t="s">
        <v>3625</v>
      </c>
    </row>
    <row r="4917" spans="35:37">
      <c r="AI4917" s="468">
        <v>47289</v>
      </c>
      <c r="AJ4917" s="5" t="s">
        <v>3626</v>
      </c>
      <c r="AK4917" s="5" t="s">
        <v>3627</v>
      </c>
    </row>
    <row r="4918" spans="35:37">
      <c r="AI4918" s="468">
        <v>47290</v>
      </c>
      <c r="AJ4918" s="5" t="s">
        <v>3628</v>
      </c>
      <c r="AK4918" s="5" t="s">
        <v>3618</v>
      </c>
    </row>
    <row r="4919" spans="35:37">
      <c r="AI4919" s="468">
        <v>47291</v>
      </c>
      <c r="AJ4919" s="5" t="s">
        <v>3617</v>
      </c>
      <c r="AK4919" s="5" t="s">
        <v>3620</v>
      </c>
    </row>
    <row r="4920" spans="35:37">
      <c r="AI4920" s="468">
        <v>47292</v>
      </c>
      <c r="AJ4920" s="5" t="s">
        <v>3619</v>
      </c>
      <c r="AK4920" s="5" t="s">
        <v>3622</v>
      </c>
    </row>
    <row r="4921" spans="35:37">
      <c r="AI4921" s="468">
        <v>47293</v>
      </c>
      <c r="AJ4921" s="5" t="s">
        <v>3621</v>
      </c>
      <c r="AK4921" s="5" t="s">
        <v>3623</v>
      </c>
    </row>
    <row r="4922" spans="35:37">
      <c r="AI4922" s="468">
        <v>47294</v>
      </c>
      <c r="AJ4922" s="5" t="s">
        <v>3579</v>
      </c>
      <c r="AK4922" s="5" t="s">
        <v>3625</v>
      </c>
    </row>
    <row r="4923" spans="35:37">
      <c r="AI4923" s="468">
        <v>47295</v>
      </c>
      <c r="AJ4923" s="5" t="s">
        <v>3624</v>
      </c>
      <c r="AK4923" s="5" t="s">
        <v>3627</v>
      </c>
    </row>
    <row r="4924" spans="35:37">
      <c r="AI4924" s="468">
        <v>47296</v>
      </c>
      <c r="AJ4924" s="5" t="s">
        <v>3626</v>
      </c>
      <c r="AK4924" s="5" t="s">
        <v>3618</v>
      </c>
    </row>
    <row r="4925" spans="35:37">
      <c r="AI4925" s="468">
        <v>47297</v>
      </c>
      <c r="AJ4925" s="5" t="s">
        <v>3628</v>
      </c>
      <c r="AK4925" s="5" t="s">
        <v>3620</v>
      </c>
    </row>
    <row r="4926" spans="35:37">
      <c r="AI4926" s="468">
        <v>47298</v>
      </c>
      <c r="AJ4926" s="5" t="s">
        <v>3617</v>
      </c>
      <c r="AK4926" s="5" t="s">
        <v>3622</v>
      </c>
    </row>
    <row r="4927" spans="35:37">
      <c r="AI4927" s="468">
        <v>47299</v>
      </c>
      <c r="AJ4927" s="5" t="s">
        <v>3619</v>
      </c>
      <c r="AK4927" s="5" t="s">
        <v>3623</v>
      </c>
    </row>
    <row r="4928" spans="35:37">
      <c r="AI4928" s="468">
        <v>47300</v>
      </c>
      <c r="AJ4928" s="5" t="s">
        <v>3621</v>
      </c>
      <c r="AK4928" s="5" t="s">
        <v>3625</v>
      </c>
    </row>
    <row r="4929" spans="35:37">
      <c r="AI4929" s="468">
        <v>47301</v>
      </c>
      <c r="AJ4929" s="5" t="s">
        <v>3579</v>
      </c>
      <c r="AK4929" s="5" t="s">
        <v>3627</v>
      </c>
    </row>
    <row r="4930" spans="35:37">
      <c r="AI4930" s="468">
        <v>47302</v>
      </c>
      <c r="AJ4930" s="5" t="s">
        <v>3624</v>
      </c>
      <c r="AK4930" s="5" t="s">
        <v>3618</v>
      </c>
    </row>
    <row r="4931" spans="35:37">
      <c r="AI4931" s="468">
        <v>47303</v>
      </c>
      <c r="AJ4931" s="5" t="s">
        <v>3626</v>
      </c>
      <c r="AK4931" s="5" t="s">
        <v>3620</v>
      </c>
    </row>
    <row r="4932" spans="35:37">
      <c r="AI4932" s="468">
        <v>47304</v>
      </c>
      <c r="AJ4932" s="5" t="s">
        <v>3628</v>
      </c>
      <c r="AK4932" s="5" t="s">
        <v>3622</v>
      </c>
    </row>
    <row r="4933" spans="35:37">
      <c r="AI4933" s="468">
        <v>47305</v>
      </c>
      <c r="AJ4933" s="5" t="s">
        <v>3617</v>
      </c>
      <c r="AK4933" s="5" t="s">
        <v>3623</v>
      </c>
    </row>
    <row r="4934" spans="35:37">
      <c r="AI4934" s="468">
        <v>47306</v>
      </c>
      <c r="AJ4934" s="5" t="s">
        <v>3619</v>
      </c>
      <c r="AK4934" s="5" t="s">
        <v>3625</v>
      </c>
    </row>
    <row r="4935" spans="35:37">
      <c r="AI4935" s="468">
        <v>47307</v>
      </c>
      <c r="AJ4935" s="5" t="s">
        <v>3621</v>
      </c>
      <c r="AK4935" s="5" t="s">
        <v>3627</v>
      </c>
    </row>
    <row r="4936" spans="35:37">
      <c r="AI4936" s="468">
        <v>47308</v>
      </c>
      <c r="AJ4936" s="5" t="s">
        <v>3579</v>
      </c>
      <c r="AK4936" s="5" t="s">
        <v>3618</v>
      </c>
    </row>
    <row r="4937" spans="35:37">
      <c r="AI4937" s="468">
        <v>47309</v>
      </c>
      <c r="AJ4937" s="5" t="s">
        <v>3624</v>
      </c>
      <c r="AK4937" s="5" t="s">
        <v>3620</v>
      </c>
    </row>
    <row r="4938" spans="35:37">
      <c r="AI4938" s="468">
        <v>47310</v>
      </c>
      <c r="AJ4938" s="5" t="s">
        <v>3626</v>
      </c>
      <c r="AK4938" s="5" t="s">
        <v>3622</v>
      </c>
    </row>
    <row r="4939" spans="35:37">
      <c r="AI4939" s="468">
        <v>47311</v>
      </c>
      <c r="AJ4939" s="5" t="s">
        <v>3628</v>
      </c>
      <c r="AK4939" s="5" t="s">
        <v>3625</v>
      </c>
    </row>
    <row r="4940" spans="35:37">
      <c r="AI4940" s="468">
        <v>47312</v>
      </c>
      <c r="AJ4940" s="5" t="s">
        <v>3617</v>
      </c>
      <c r="AK4940" s="5" t="s">
        <v>3627</v>
      </c>
    </row>
    <row r="4941" spans="35:37">
      <c r="AI4941" s="468">
        <v>47313</v>
      </c>
      <c r="AJ4941" s="5" t="s">
        <v>3619</v>
      </c>
      <c r="AK4941" s="5" t="s">
        <v>3618</v>
      </c>
    </row>
    <row r="4942" spans="35:37">
      <c r="AI4942" s="468">
        <v>47314</v>
      </c>
      <c r="AJ4942" s="5" t="s">
        <v>3621</v>
      </c>
      <c r="AK4942" s="5" t="s">
        <v>3620</v>
      </c>
    </row>
    <row r="4943" spans="35:37">
      <c r="AI4943" s="468">
        <v>47315</v>
      </c>
      <c r="AJ4943" s="5" t="s">
        <v>3579</v>
      </c>
      <c r="AK4943" s="5" t="s">
        <v>3622</v>
      </c>
    </row>
    <row r="4944" spans="35:37">
      <c r="AI4944" s="468">
        <v>47316</v>
      </c>
      <c r="AJ4944" s="5" t="s">
        <v>3624</v>
      </c>
      <c r="AK4944" s="5" t="s">
        <v>3623</v>
      </c>
    </row>
    <row r="4945" spans="35:37">
      <c r="AI4945" s="468">
        <v>47317</v>
      </c>
      <c r="AJ4945" s="5" t="s">
        <v>3626</v>
      </c>
      <c r="AK4945" s="5" t="s">
        <v>3625</v>
      </c>
    </row>
    <row r="4946" spans="35:37">
      <c r="AI4946" s="468">
        <v>47318</v>
      </c>
      <c r="AJ4946" s="5" t="s">
        <v>3628</v>
      </c>
      <c r="AK4946" s="5" t="s">
        <v>3627</v>
      </c>
    </row>
    <row r="4947" spans="35:37">
      <c r="AI4947" s="468">
        <v>47319</v>
      </c>
      <c r="AJ4947" s="5" t="s">
        <v>3617</v>
      </c>
      <c r="AK4947" s="5" t="s">
        <v>3618</v>
      </c>
    </row>
    <row r="4948" spans="35:37">
      <c r="AI4948" s="468">
        <v>47320</v>
      </c>
      <c r="AJ4948" s="5" t="s">
        <v>3619</v>
      </c>
      <c r="AK4948" s="5" t="s">
        <v>3620</v>
      </c>
    </row>
    <row r="4949" spans="35:37">
      <c r="AI4949" s="468">
        <v>47321</v>
      </c>
      <c r="AJ4949" s="5" t="s">
        <v>3621</v>
      </c>
      <c r="AK4949" s="5" t="s">
        <v>3622</v>
      </c>
    </row>
    <row r="4950" spans="35:37">
      <c r="AI4950" s="468">
        <v>47322</v>
      </c>
      <c r="AJ4950" s="5" t="s">
        <v>3579</v>
      </c>
      <c r="AK4950" s="5" t="s">
        <v>3623</v>
      </c>
    </row>
    <row r="4951" spans="35:37">
      <c r="AI4951" s="468">
        <v>47323</v>
      </c>
      <c r="AJ4951" s="5" t="s">
        <v>3624</v>
      </c>
      <c r="AK4951" s="5" t="s">
        <v>3625</v>
      </c>
    </row>
    <row r="4952" spans="35:37">
      <c r="AI4952" s="468">
        <v>47324</v>
      </c>
      <c r="AJ4952" s="5" t="s">
        <v>3626</v>
      </c>
      <c r="AK4952" s="5" t="s">
        <v>3627</v>
      </c>
    </row>
    <row r="4953" spans="35:37">
      <c r="AI4953" s="468">
        <v>47325</v>
      </c>
      <c r="AJ4953" s="5" t="s">
        <v>3628</v>
      </c>
      <c r="AK4953" s="5" t="s">
        <v>3618</v>
      </c>
    </row>
    <row r="4954" spans="35:37">
      <c r="AI4954" s="468">
        <v>47326</v>
      </c>
      <c r="AJ4954" s="5" t="s">
        <v>3617</v>
      </c>
      <c r="AK4954" s="5" t="s">
        <v>3620</v>
      </c>
    </row>
    <row r="4955" spans="35:37">
      <c r="AI4955" s="468">
        <v>47327</v>
      </c>
      <c r="AJ4955" s="5" t="s">
        <v>3619</v>
      </c>
      <c r="AK4955" s="5" t="s">
        <v>3622</v>
      </c>
    </row>
    <row r="4956" spans="35:37">
      <c r="AI4956" s="468">
        <v>47328</v>
      </c>
      <c r="AJ4956" s="5" t="s">
        <v>3621</v>
      </c>
      <c r="AK4956" s="5" t="s">
        <v>3623</v>
      </c>
    </row>
    <row r="4957" spans="35:37">
      <c r="AI4957" s="468">
        <v>47329</v>
      </c>
      <c r="AJ4957" s="5" t="s">
        <v>3579</v>
      </c>
      <c r="AK4957" s="5" t="s">
        <v>3625</v>
      </c>
    </row>
    <row r="4958" spans="35:37">
      <c r="AI4958" s="468">
        <v>47330</v>
      </c>
      <c r="AJ4958" s="5" t="s">
        <v>3624</v>
      </c>
      <c r="AK4958" s="5" t="s">
        <v>3627</v>
      </c>
    </row>
    <row r="4959" spans="35:37">
      <c r="AI4959" s="468">
        <v>47331</v>
      </c>
      <c r="AJ4959" s="5" t="s">
        <v>3626</v>
      </c>
      <c r="AK4959" s="5" t="s">
        <v>3618</v>
      </c>
    </row>
    <row r="4960" spans="35:37">
      <c r="AI4960" s="468">
        <v>47332</v>
      </c>
      <c r="AJ4960" s="5" t="s">
        <v>3628</v>
      </c>
      <c r="AK4960" s="5" t="s">
        <v>3620</v>
      </c>
    </row>
    <row r="4961" spans="35:37">
      <c r="AI4961" s="468">
        <v>47333</v>
      </c>
      <c r="AJ4961" s="5" t="s">
        <v>3617</v>
      </c>
      <c r="AK4961" s="5" t="s">
        <v>3622</v>
      </c>
    </row>
    <row r="4962" spans="35:37">
      <c r="AI4962" s="468">
        <v>47334</v>
      </c>
      <c r="AJ4962" s="5" t="s">
        <v>3619</v>
      </c>
      <c r="AK4962" s="5" t="s">
        <v>3623</v>
      </c>
    </row>
    <row r="4963" spans="35:37">
      <c r="AI4963" s="468">
        <v>47335</v>
      </c>
      <c r="AJ4963" s="5" t="s">
        <v>3621</v>
      </c>
      <c r="AK4963" s="5" t="s">
        <v>3625</v>
      </c>
    </row>
    <row r="4964" spans="35:37">
      <c r="AI4964" s="468">
        <v>47336</v>
      </c>
      <c r="AJ4964" s="5" t="s">
        <v>3579</v>
      </c>
      <c r="AK4964" s="5" t="s">
        <v>3627</v>
      </c>
    </row>
    <row r="4965" spans="35:37">
      <c r="AI4965" s="468">
        <v>47337</v>
      </c>
      <c r="AJ4965" s="5" t="s">
        <v>3624</v>
      </c>
      <c r="AK4965" s="5" t="s">
        <v>3618</v>
      </c>
    </row>
    <row r="4966" spans="35:37">
      <c r="AI4966" s="468">
        <v>47338</v>
      </c>
      <c r="AJ4966" s="5" t="s">
        <v>3626</v>
      </c>
      <c r="AK4966" s="5" t="s">
        <v>3620</v>
      </c>
    </row>
    <row r="4967" spans="35:37">
      <c r="AI4967" s="468">
        <v>47339</v>
      </c>
      <c r="AJ4967" s="5" t="s">
        <v>3628</v>
      </c>
      <c r="AK4967" s="5" t="s">
        <v>3622</v>
      </c>
    </row>
    <row r="4968" spans="35:37">
      <c r="AI4968" s="468">
        <v>47340</v>
      </c>
      <c r="AJ4968" s="5" t="s">
        <v>3617</v>
      </c>
      <c r="AK4968" s="5" t="s">
        <v>3627</v>
      </c>
    </row>
    <row r="4969" spans="35:37">
      <c r="AI4969" s="468">
        <v>47341</v>
      </c>
      <c r="AJ4969" s="5" t="s">
        <v>3619</v>
      </c>
      <c r="AK4969" s="5" t="s">
        <v>3618</v>
      </c>
    </row>
    <row r="4970" spans="35:37">
      <c r="AI4970" s="468">
        <v>47342</v>
      </c>
      <c r="AJ4970" s="5" t="s">
        <v>3621</v>
      </c>
      <c r="AK4970" s="5" t="s">
        <v>3620</v>
      </c>
    </row>
    <row r="4971" spans="35:37">
      <c r="AI4971" s="468">
        <v>47343</v>
      </c>
      <c r="AJ4971" s="5" t="s">
        <v>3579</v>
      </c>
      <c r="AK4971" s="5" t="s">
        <v>3622</v>
      </c>
    </row>
    <row r="4972" spans="35:37">
      <c r="AI4972" s="468">
        <v>47344</v>
      </c>
      <c r="AJ4972" s="5" t="s">
        <v>3624</v>
      </c>
      <c r="AK4972" s="5" t="s">
        <v>3623</v>
      </c>
    </row>
    <row r="4973" spans="35:37">
      <c r="AI4973" s="468">
        <v>47345</v>
      </c>
      <c r="AJ4973" s="5" t="s">
        <v>3626</v>
      </c>
      <c r="AK4973" s="5" t="s">
        <v>3625</v>
      </c>
    </row>
    <row r="4974" spans="35:37">
      <c r="AI4974" s="468">
        <v>47346</v>
      </c>
      <c r="AJ4974" s="5" t="s">
        <v>3628</v>
      </c>
      <c r="AK4974" s="5" t="s">
        <v>3627</v>
      </c>
    </row>
    <row r="4975" spans="35:37">
      <c r="AI4975" s="468">
        <v>47347</v>
      </c>
      <c r="AJ4975" s="5" t="s">
        <v>3617</v>
      </c>
      <c r="AK4975" s="5" t="s">
        <v>3618</v>
      </c>
    </row>
    <row r="4976" spans="35:37">
      <c r="AI4976" s="468">
        <v>47348</v>
      </c>
      <c r="AJ4976" s="5" t="s">
        <v>3619</v>
      </c>
      <c r="AK4976" s="5" t="s">
        <v>3620</v>
      </c>
    </row>
    <row r="4977" spans="35:37">
      <c r="AI4977" s="468">
        <v>47349</v>
      </c>
      <c r="AJ4977" s="5" t="s">
        <v>3621</v>
      </c>
      <c r="AK4977" s="5" t="s">
        <v>3622</v>
      </c>
    </row>
    <row r="4978" spans="35:37">
      <c r="AI4978" s="468">
        <v>47350</v>
      </c>
      <c r="AJ4978" s="5" t="s">
        <v>3579</v>
      </c>
      <c r="AK4978" s="5" t="s">
        <v>3623</v>
      </c>
    </row>
    <row r="4979" spans="35:37">
      <c r="AI4979" s="468">
        <v>47351</v>
      </c>
      <c r="AJ4979" s="5" t="s">
        <v>3624</v>
      </c>
      <c r="AK4979" s="5" t="s">
        <v>3625</v>
      </c>
    </row>
    <row r="4980" spans="35:37">
      <c r="AI4980" s="468">
        <v>47352</v>
      </c>
      <c r="AJ4980" s="5" t="s">
        <v>3626</v>
      </c>
      <c r="AK4980" s="5" t="s">
        <v>3627</v>
      </c>
    </row>
    <row r="4981" spans="35:37">
      <c r="AI4981" s="468">
        <v>47353</v>
      </c>
      <c r="AJ4981" s="5" t="s">
        <v>3628</v>
      </c>
      <c r="AK4981" s="5" t="s">
        <v>3618</v>
      </c>
    </row>
    <row r="4982" spans="35:37">
      <c r="AI4982" s="468">
        <v>47354</v>
      </c>
      <c r="AJ4982" s="5" t="s">
        <v>3617</v>
      </c>
      <c r="AK4982" s="5" t="s">
        <v>3620</v>
      </c>
    </row>
    <row r="4983" spans="35:37">
      <c r="AI4983" s="468">
        <v>47355</v>
      </c>
      <c r="AJ4983" s="5" t="s">
        <v>3619</v>
      </c>
      <c r="AK4983" s="5" t="s">
        <v>3622</v>
      </c>
    </row>
    <row r="4984" spans="35:37">
      <c r="AI4984" s="468">
        <v>47356</v>
      </c>
      <c r="AJ4984" s="5" t="s">
        <v>3621</v>
      </c>
      <c r="AK4984" s="5" t="s">
        <v>3623</v>
      </c>
    </row>
    <row r="4985" spans="35:37">
      <c r="AI4985" s="468">
        <v>47357</v>
      </c>
      <c r="AJ4985" s="5" t="s">
        <v>3579</v>
      </c>
      <c r="AK4985" s="5" t="s">
        <v>3625</v>
      </c>
    </row>
    <row r="4986" spans="35:37">
      <c r="AI4986" s="468">
        <v>47358</v>
      </c>
      <c r="AJ4986" s="5" t="s">
        <v>3624</v>
      </c>
      <c r="AK4986" s="5" t="s">
        <v>3627</v>
      </c>
    </row>
    <row r="4987" spans="35:37">
      <c r="AI4987" s="468">
        <v>47359</v>
      </c>
      <c r="AJ4987" s="5" t="s">
        <v>3626</v>
      </c>
      <c r="AK4987" s="5" t="s">
        <v>3618</v>
      </c>
    </row>
    <row r="4988" spans="35:37">
      <c r="AI4988" s="468">
        <v>47360</v>
      </c>
      <c r="AJ4988" s="5" t="s">
        <v>3628</v>
      </c>
      <c r="AK4988" s="5" t="s">
        <v>3620</v>
      </c>
    </row>
    <row r="4989" spans="35:37">
      <c r="AI4989" s="468">
        <v>47361</v>
      </c>
      <c r="AJ4989" s="5" t="s">
        <v>3617</v>
      </c>
      <c r="AK4989" s="5" t="s">
        <v>3622</v>
      </c>
    </row>
    <row r="4990" spans="35:37">
      <c r="AI4990" s="468">
        <v>47362</v>
      </c>
      <c r="AJ4990" s="5" t="s">
        <v>3619</v>
      </c>
      <c r="AK4990" s="5" t="s">
        <v>3623</v>
      </c>
    </row>
    <row r="4991" spans="35:37">
      <c r="AI4991" s="468">
        <v>47363</v>
      </c>
      <c r="AJ4991" s="5" t="s">
        <v>3621</v>
      </c>
      <c r="AK4991" s="5" t="s">
        <v>3625</v>
      </c>
    </row>
    <row r="4992" spans="35:37">
      <c r="AI4992" s="468">
        <v>47364</v>
      </c>
      <c r="AJ4992" s="5" t="s">
        <v>3579</v>
      </c>
      <c r="AK4992" s="5" t="s">
        <v>3627</v>
      </c>
    </row>
    <row r="4993" spans="35:37">
      <c r="AI4993" s="468">
        <v>47365</v>
      </c>
      <c r="AJ4993" s="5" t="s">
        <v>3624</v>
      </c>
      <c r="AK4993" s="5" t="s">
        <v>3618</v>
      </c>
    </row>
    <row r="4994" spans="35:37">
      <c r="AI4994" s="468">
        <v>47366</v>
      </c>
      <c r="AJ4994" s="5" t="s">
        <v>3626</v>
      </c>
      <c r="AK4994" s="5" t="s">
        <v>3620</v>
      </c>
    </row>
    <row r="4995" spans="35:37">
      <c r="AI4995" s="468">
        <v>47367</v>
      </c>
      <c r="AJ4995" s="5" t="s">
        <v>3628</v>
      </c>
      <c r="AK4995" s="5" t="s">
        <v>3622</v>
      </c>
    </row>
    <row r="4996" spans="35:37">
      <c r="AI4996" s="468">
        <v>47368</v>
      </c>
      <c r="AJ4996" s="5" t="s">
        <v>3617</v>
      </c>
      <c r="AK4996" s="5" t="s">
        <v>3623</v>
      </c>
    </row>
    <row r="4997" spans="35:37">
      <c r="AI4997" s="468">
        <v>47369</v>
      </c>
      <c r="AJ4997" s="5" t="s">
        <v>3619</v>
      </c>
      <c r="AK4997" s="5" t="s">
        <v>3618</v>
      </c>
    </row>
    <row r="4998" spans="35:37">
      <c r="AI4998" s="468">
        <v>47370</v>
      </c>
      <c r="AJ4998" s="5" t="s">
        <v>3621</v>
      </c>
      <c r="AK4998" s="5" t="s">
        <v>3620</v>
      </c>
    </row>
    <row r="4999" spans="35:37">
      <c r="AI4999" s="468">
        <v>47371</v>
      </c>
      <c r="AJ4999" s="5" t="s">
        <v>3579</v>
      </c>
      <c r="AK4999" s="5" t="s">
        <v>3622</v>
      </c>
    </row>
    <row r="5000" spans="35:37">
      <c r="AI5000" s="468">
        <v>47372</v>
      </c>
      <c r="AJ5000" s="5" t="s">
        <v>3624</v>
      </c>
      <c r="AK5000" s="5" t="s">
        <v>3623</v>
      </c>
    </row>
    <row r="5001" spans="35:37">
      <c r="AI5001" s="468">
        <v>47373</v>
      </c>
      <c r="AJ5001" s="5" t="s">
        <v>3626</v>
      </c>
      <c r="AK5001" s="5" t="s">
        <v>3625</v>
      </c>
    </row>
    <row r="5002" spans="35:37">
      <c r="AI5002" s="468">
        <v>47374</v>
      </c>
      <c r="AJ5002" s="5" t="s">
        <v>3628</v>
      </c>
      <c r="AK5002" s="5" t="s">
        <v>3627</v>
      </c>
    </row>
    <row r="5003" spans="35:37">
      <c r="AI5003" s="468">
        <v>47375</v>
      </c>
      <c r="AJ5003" s="5" t="s">
        <v>3617</v>
      </c>
      <c r="AK5003" s="5" t="s">
        <v>3618</v>
      </c>
    </row>
    <row r="5004" spans="35:37">
      <c r="AI5004" s="468">
        <v>47376</v>
      </c>
      <c r="AJ5004" s="5" t="s">
        <v>3619</v>
      </c>
      <c r="AK5004" s="5" t="s">
        <v>3620</v>
      </c>
    </row>
    <row r="5005" spans="35:37">
      <c r="AI5005" s="468">
        <v>47377</v>
      </c>
      <c r="AJ5005" s="5" t="s">
        <v>3621</v>
      </c>
      <c r="AK5005" s="5" t="s">
        <v>3622</v>
      </c>
    </row>
    <row r="5006" spans="35:37">
      <c r="AI5006" s="468">
        <v>47378</v>
      </c>
      <c r="AJ5006" s="5" t="s">
        <v>3579</v>
      </c>
      <c r="AK5006" s="5" t="s">
        <v>3623</v>
      </c>
    </row>
    <row r="5007" spans="35:37">
      <c r="AI5007" s="468">
        <v>47379</v>
      </c>
      <c r="AJ5007" s="5" t="s">
        <v>3624</v>
      </c>
      <c r="AK5007" s="5" t="s">
        <v>3625</v>
      </c>
    </row>
    <row r="5008" spans="35:37">
      <c r="AI5008" s="468">
        <v>47380</v>
      </c>
      <c r="AJ5008" s="5" t="s">
        <v>3626</v>
      </c>
      <c r="AK5008" s="5" t="s">
        <v>3627</v>
      </c>
    </row>
    <row r="5009" spans="35:37">
      <c r="AI5009" s="468">
        <v>47381</v>
      </c>
      <c r="AJ5009" s="5" t="s">
        <v>3628</v>
      </c>
      <c r="AK5009" s="5" t="s">
        <v>3618</v>
      </c>
    </row>
    <row r="5010" spans="35:37">
      <c r="AI5010" s="468">
        <v>47382</v>
      </c>
      <c r="AJ5010" s="5" t="s">
        <v>3617</v>
      </c>
      <c r="AK5010" s="5" t="s">
        <v>3620</v>
      </c>
    </row>
    <row r="5011" spans="35:37">
      <c r="AI5011" s="468">
        <v>47383</v>
      </c>
      <c r="AJ5011" s="5" t="s">
        <v>3619</v>
      </c>
      <c r="AK5011" s="5" t="s">
        <v>3622</v>
      </c>
    </row>
    <row r="5012" spans="35:37">
      <c r="AI5012" s="468">
        <v>47384</v>
      </c>
      <c r="AJ5012" s="5" t="s">
        <v>3621</v>
      </c>
      <c r="AK5012" s="5" t="s">
        <v>3623</v>
      </c>
    </row>
    <row r="5013" spans="35:37">
      <c r="AI5013" s="468">
        <v>47385</v>
      </c>
      <c r="AJ5013" s="5" t="s">
        <v>3579</v>
      </c>
      <c r="AK5013" s="5" t="s">
        <v>3625</v>
      </c>
    </row>
    <row r="5014" spans="35:37">
      <c r="AI5014" s="468">
        <v>47386</v>
      </c>
      <c r="AJ5014" s="5" t="s">
        <v>3624</v>
      </c>
      <c r="AK5014" s="5" t="s">
        <v>3627</v>
      </c>
    </row>
    <row r="5015" spans="35:37">
      <c r="AI5015" s="468">
        <v>47387</v>
      </c>
      <c r="AJ5015" s="5" t="s">
        <v>3626</v>
      </c>
      <c r="AK5015" s="5" t="s">
        <v>3618</v>
      </c>
    </row>
    <row r="5016" spans="35:37">
      <c r="AI5016" s="468">
        <v>47388</v>
      </c>
      <c r="AJ5016" s="5" t="s">
        <v>3628</v>
      </c>
      <c r="AK5016" s="5" t="s">
        <v>3620</v>
      </c>
    </row>
    <row r="5017" spans="35:37">
      <c r="AI5017" s="468">
        <v>47389</v>
      </c>
      <c r="AJ5017" s="5" t="s">
        <v>3617</v>
      </c>
      <c r="AK5017" s="5" t="s">
        <v>3622</v>
      </c>
    </row>
    <row r="5018" spans="35:37">
      <c r="AI5018" s="468">
        <v>47390</v>
      </c>
      <c r="AJ5018" s="5" t="s">
        <v>3619</v>
      </c>
      <c r="AK5018" s="5" t="s">
        <v>3623</v>
      </c>
    </row>
    <row r="5019" spans="35:37">
      <c r="AI5019" s="468">
        <v>47391</v>
      </c>
      <c r="AJ5019" s="5" t="s">
        <v>3621</v>
      </c>
      <c r="AK5019" s="5" t="s">
        <v>3625</v>
      </c>
    </row>
    <row r="5020" spans="35:37">
      <c r="AI5020" s="468">
        <v>47392</v>
      </c>
      <c r="AJ5020" s="5" t="s">
        <v>3579</v>
      </c>
      <c r="AK5020" s="5" t="s">
        <v>3627</v>
      </c>
    </row>
    <row r="5021" spans="35:37">
      <c r="AI5021" s="468">
        <v>47393</v>
      </c>
      <c r="AJ5021" s="5" t="s">
        <v>3624</v>
      </c>
      <c r="AK5021" s="5" t="s">
        <v>3618</v>
      </c>
    </row>
    <row r="5022" spans="35:37">
      <c r="AI5022" s="468">
        <v>47394</v>
      </c>
      <c r="AJ5022" s="5" t="s">
        <v>3626</v>
      </c>
      <c r="AK5022" s="5" t="s">
        <v>3620</v>
      </c>
    </row>
    <row r="5023" spans="35:37">
      <c r="AI5023" s="468">
        <v>47395</v>
      </c>
      <c r="AJ5023" s="5" t="s">
        <v>3628</v>
      </c>
      <c r="AK5023" s="5" t="s">
        <v>3622</v>
      </c>
    </row>
    <row r="5024" spans="35:37">
      <c r="AI5024" s="468">
        <v>47396</v>
      </c>
      <c r="AJ5024" s="5" t="s">
        <v>3617</v>
      </c>
      <c r="AK5024" s="5" t="s">
        <v>3623</v>
      </c>
    </row>
    <row r="5025" spans="35:37">
      <c r="AI5025" s="468">
        <v>47397</v>
      </c>
      <c r="AJ5025" s="5" t="s">
        <v>3619</v>
      </c>
      <c r="AK5025" s="5" t="s">
        <v>3625</v>
      </c>
    </row>
    <row r="5026" spans="35:37">
      <c r="AI5026" s="468">
        <v>47398</v>
      </c>
      <c r="AJ5026" s="5" t="s">
        <v>3621</v>
      </c>
      <c r="AK5026" s="5" t="s">
        <v>3627</v>
      </c>
    </row>
    <row r="5027" spans="35:37">
      <c r="AI5027" s="468">
        <v>47399</v>
      </c>
      <c r="AJ5027" s="5" t="s">
        <v>3579</v>
      </c>
      <c r="AK5027" s="5" t="s">
        <v>3620</v>
      </c>
    </row>
    <row r="5028" spans="35:37">
      <c r="AI5028" s="468">
        <v>47400</v>
      </c>
      <c r="AJ5028" s="5" t="s">
        <v>3624</v>
      </c>
      <c r="AK5028" s="5" t="s">
        <v>3622</v>
      </c>
    </row>
    <row r="5029" spans="35:37">
      <c r="AI5029" s="468">
        <v>47401</v>
      </c>
      <c r="AJ5029" s="5" t="s">
        <v>3626</v>
      </c>
      <c r="AK5029" s="5" t="s">
        <v>3623</v>
      </c>
    </row>
    <row r="5030" spans="35:37">
      <c r="AI5030" s="468">
        <v>47402</v>
      </c>
      <c r="AJ5030" s="5" t="s">
        <v>3628</v>
      </c>
      <c r="AK5030" s="5" t="s">
        <v>3625</v>
      </c>
    </row>
    <row r="5031" spans="35:37">
      <c r="AI5031" s="468">
        <v>47403</v>
      </c>
      <c r="AJ5031" s="5" t="s">
        <v>3617</v>
      </c>
      <c r="AK5031" s="5" t="s">
        <v>3627</v>
      </c>
    </row>
    <row r="5032" spans="35:37">
      <c r="AI5032" s="468">
        <v>47404</v>
      </c>
      <c r="AJ5032" s="5" t="s">
        <v>3619</v>
      </c>
      <c r="AK5032" s="5" t="s">
        <v>3618</v>
      </c>
    </row>
    <row r="5033" spans="35:37">
      <c r="AI5033" s="468">
        <v>47405</v>
      </c>
      <c r="AJ5033" s="5" t="s">
        <v>3621</v>
      </c>
      <c r="AK5033" s="5" t="s">
        <v>3620</v>
      </c>
    </row>
    <row r="5034" spans="35:37">
      <c r="AI5034" s="468">
        <v>47406</v>
      </c>
      <c r="AJ5034" s="5" t="s">
        <v>3579</v>
      </c>
      <c r="AK5034" s="5" t="s">
        <v>3622</v>
      </c>
    </row>
    <row r="5035" spans="35:37">
      <c r="AI5035" s="468">
        <v>47407</v>
      </c>
      <c r="AJ5035" s="5" t="s">
        <v>3624</v>
      </c>
      <c r="AK5035" s="5" t="s">
        <v>3623</v>
      </c>
    </row>
    <row r="5036" spans="35:37">
      <c r="AI5036" s="468">
        <v>47408</v>
      </c>
      <c r="AJ5036" s="5" t="s">
        <v>3626</v>
      </c>
      <c r="AK5036" s="5" t="s">
        <v>3625</v>
      </c>
    </row>
    <row r="5037" spans="35:37">
      <c r="AI5037" s="468">
        <v>47409</v>
      </c>
      <c r="AJ5037" s="5" t="s">
        <v>3628</v>
      </c>
      <c r="AK5037" s="5" t="s">
        <v>3627</v>
      </c>
    </row>
    <row r="5038" spans="35:37">
      <c r="AI5038" s="468">
        <v>47410</v>
      </c>
      <c r="AJ5038" s="5" t="s">
        <v>3617</v>
      </c>
      <c r="AK5038" s="5" t="s">
        <v>3618</v>
      </c>
    </row>
    <row r="5039" spans="35:37">
      <c r="AI5039" s="468">
        <v>47411</v>
      </c>
      <c r="AJ5039" s="5" t="s">
        <v>3619</v>
      </c>
      <c r="AK5039" s="5" t="s">
        <v>3620</v>
      </c>
    </row>
    <row r="5040" spans="35:37">
      <c r="AI5040" s="468">
        <v>47412</v>
      </c>
      <c r="AJ5040" s="5" t="s">
        <v>3621</v>
      </c>
      <c r="AK5040" s="5" t="s">
        <v>3622</v>
      </c>
    </row>
    <row r="5041" spans="35:37">
      <c r="AI5041" s="468">
        <v>47413</v>
      </c>
      <c r="AJ5041" s="5" t="s">
        <v>3579</v>
      </c>
      <c r="AK5041" s="5" t="s">
        <v>3623</v>
      </c>
    </row>
    <row r="5042" spans="35:37">
      <c r="AI5042" s="468">
        <v>47414</v>
      </c>
      <c r="AJ5042" s="5" t="s">
        <v>3624</v>
      </c>
      <c r="AK5042" s="5" t="s">
        <v>3625</v>
      </c>
    </row>
    <row r="5043" spans="35:37">
      <c r="AI5043" s="468">
        <v>47415</v>
      </c>
      <c r="AJ5043" s="5" t="s">
        <v>3626</v>
      </c>
      <c r="AK5043" s="5" t="s">
        <v>3627</v>
      </c>
    </row>
    <row r="5044" spans="35:37">
      <c r="AI5044" s="468">
        <v>47416</v>
      </c>
      <c r="AJ5044" s="5" t="s">
        <v>3628</v>
      </c>
      <c r="AK5044" s="5" t="s">
        <v>3618</v>
      </c>
    </row>
    <row r="5045" spans="35:37">
      <c r="AI5045" s="468">
        <v>47417</v>
      </c>
      <c r="AJ5045" s="5" t="s">
        <v>3617</v>
      </c>
      <c r="AK5045" s="5" t="s">
        <v>3620</v>
      </c>
    </row>
    <row r="5046" spans="35:37">
      <c r="AI5046" s="468">
        <v>47418</v>
      </c>
      <c r="AJ5046" s="5" t="s">
        <v>3619</v>
      </c>
      <c r="AK5046" s="5" t="s">
        <v>3622</v>
      </c>
    </row>
    <row r="5047" spans="35:37">
      <c r="AI5047" s="468">
        <v>47419</v>
      </c>
      <c r="AJ5047" s="5" t="s">
        <v>3621</v>
      </c>
      <c r="AK5047" s="5" t="s">
        <v>3623</v>
      </c>
    </row>
    <row r="5048" spans="35:37">
      <c r="AI5048" s="468">
        <v>47420</v>
      </c>
      <c r="AJ5048" s="5" t="s">
        <v>3579</v>
      </c>
      <c r="AK5048" s="5" t="s">
        <v>3625</v>
      </c>
    </row>
    <row r="5049" spans="35:37">
      <c r="AI5049" s="468">
        <v>47421</v>
      </c>
      <c r="AJ5049" s="5" t="s">
        <v>3624</v>
      </c>
      <c r="AK5049" s="5" t="s">
        <v>3627</v>
      </c>
    </row>
    <row r="5050" spans="35:37">
      <c r="AI5050" s="468">
        <v>47422</v>
      </c>
      <c r="AJ5050" s="5" t="s">
        <v>3626</v>
      </c>
      <c r="AK5050" s="5" t="s">
        <v>3618</v>
      </c>
    </row>
    <row r="5051" spans="35:37">
      <c r="AI5051" s="468">
        <v>47423</v>
      </c>
      <c r="AJ5051" s="5" t="s">
        <v>3628</v>
      </c>
      <c r="AK5051" s="5" t="s">
        <v>3620</v>
      </c>
    </row>
    <row r="5052" spans="35:37">
      <c r="AI5052" s="468">
        <v>47424</v>
      </c>
      <c r="AJ5052" s="5" t="s">
        <v>3617</v>
      </c>
      <c r="AK5052" s="5" t="s">
        <v>3622</v>
      </c>
    </row>
    <row r="5053" spans="35:37">
      <c r="AI5053" s="468">
        <v>47425</v>
      </c>
      <c r="AJ5053" s="5" t="s">
        <v>3619</v>
      </c>
      <c r="AK5053" s="5" t="s">
        <v>3623</v>
      </c>
    </row>
    <row r="5054" spans="35:37">
      <c r="AI5054" s="468">
        <v>47426</v>
      </c>
      <c r="AJ5054" s="5" t="s">
        <v>3621</v>
      </c>
      <c r="AK5054" s="5" t="s">
        <v>3625</v>
      </c>
    </row>
    <row r="5055" spans="35:37">
      <c r="AI5055" s="468">
        <v>47427</v>
      </c>
      <c r="AJ5055" s="5" t="s">
        <v>3579</v>
      </c>
      <c r="AK5055" s="5" t="s">
        <v>3627</v>
      </c>
    </row>
    <row r="5056" spans="35:37">
      <c r="AI5056" s="468">
        <v>47428</v>
      </c>
      <c r="AJ5056" s="5" t="s">
        <v>3624</v>
      </c>
      <c r="AK5056" s="5" t="s">
        <v>3622</v>
      </c>
    </row>
    <row r="5057" spans="35:37">
      <c r="AI5057" s="468">
        <v>47429</v>
      </c>
      <c r="AJ5057" s="5" t="s">
        <v>3626</v>
      </c>
      <c r="AK5057" s="5" t="s">
        <v>3623</v>
      </c>
    </row>
    <row r="5058" spans="35:37">
      <c r="AI5058" s="468">
        <v>47430</v>
      </c>
      <c r="AJ5058" s="5" t="s">
        <v>3628</v>
      </c>
      <c r="AK5058" s="5" t="s">
        <v>3625</v>
      </c>
    </row>
    <row r="5059" spans="35:37">
      <c r="AI5059" s="468">
        <v>47431</v>
      </c>
      <c r="AJ5059" s="5" t="s">
        <v>3617</v>
      </c>
      <c r="AK5059" s="5" t="s">
        <v>3627</v>
      </c>
    </row>
    <row r="5060" spans="35:37">
      <c r="AI5060" s="468">
        <v>47432</v>
      </c>
      <c r="AJ5060" s="5" t="s">
        <v>3619</v>
      </c>
      <c r="AK5060" s="5" t="s">
        <v>3618</v>
      </c>
    </row>
    <row r="5061" spans="35:37">
      <c r="AI5061" s="468">
        <v>47433</v>
      </c>
      <c r="AJ5061" s="5" t="s">
        <v>3621</v>
      </c>
      <c r="AK5061" s="5" t="s">
        <v>3620</v>
      </c>
    </row>
    <row r="5062" spans="35:37">
      <c r="AI5062" s="468">
        <v>47434</v>
      </c>
      <c r="AJ5062" s="5" t="s">
        <v>3579</v>
      </c>
      <c r="AK5062" s="5" t="s">
        <v>3622</v>
      </c>
    </row>
    <row r="5063" spans="35:37">
      <c r="AI5063" s="468">
        <v>47435</v>
      </c>
      <c r="AJ5063" s="5" t="s">
        <v>3624</v>
      </c>
      <c r="AK5063" s="5" t="s">
        <v>3623</v>
      </c>
    </row>
    <row r="5064" spans="35:37">
      <c r="AI5064" s="468">
        <v>47436</v>
      </c>
      <c r="AJ5064" s="5" t="s">
        <v>3626</v>
      </c>
      <c r="AK5064" s="5" t="s">
        <v>3625</v>
      </c>
    </row>
    <row r="5065" spans="35:37">
      <c r="AI5065" s="468">
        <v>47437</v>
      </c>
      <c r="AJ5065" s="5" t="s">
        <v>3628</v>
      </c>
      <c r="AK5065" s="5" t="s">
        <v>3627</v>
      </c>
    </row>
    <row r="5066" spans="35:37">
      <c r="AI5066" s="468">
        <v>47438</v>
      </c>
      <c r="AJ5066" s="5" t="s">
        <v>3617</v>
      </c>
      <c r="AK5066" s="5" t="s">
        <v>3618</v>
      </c>
    </row>
    <row r="5067" spans="35:37">
      <c r="AI5067" s="468">
        <v>47439</v>
      </c>
      <c r="AJ5067" s="5" t="s">
        <v>3619</v>
      </c>
      <c r="AK5067" s="5" t="s">
        <v>3620</v>
      </c>
    </row>
    <row r="5068" spans="35:37">
      <c r="AI5068" s="468">
        <v>47440</v>
      </c>
      <c r="AJ5068" s="5" t="s">
        <v>3621</v>
      </c>
      <c r="AK5068" s="5" t="s">
        <v>3622</v>
      </c>
    </row>
    <row r="5069" spans="35:37">
      <c r="AI5069" s="468">
        <v>47441</v>
      </c>
      <c r="AJ5069" s="5" t="s">
        <v>3579</v>
      </c>
      <c r="AK5069" s="5" t="s">
        <v>3623</v>
      </c>
    </row>
    <row r="5070" spans="35:37">
      <c r="AI5070" s="468">
        <v>47442</v>
      </c>
      <c r="AJ5070" s="5" t="s">
        <v>3624</v>
      </c>
      <c r="AK5070" s="5" t="s">
        <v>3625</v>
      </c>
    </row>
    <row r="5071" spans="35:37">
      <c r="AI5071" s="468">
        <v>47443</v>
      </c>
      <c r="AJ5071" s="5" t="s">
        <v>3626</v>
      </c>
      <c r="AK5071" s="5" t="s">
        <v>3627</v>
      </c>
    </row>
    <row r="5072" spans="35:37">
      <c r="AI5072" s="468">
        <v>47444</v>
      </c>
      <c r="AJ5072" s="5" t="s">
        <v>3628</v>
      </c>
      <c r="AK5072" s="5" t="s">
        <v>3618</v>
      </c>
    </row>
    <row r="5073" spans="35:37">
      <c r="AI5073" s="468">
        <v>47445</v>
      </c>
      <c r="AJ5073" s="5" t="s">
        <v>3617</v>
      </c>
      <c r="AK5073" s="5" t="s">
        <v>3620</v>
      </c>
    </row>
    <row r="5074" spans="35:37">
      <c r="AI5074" s="468">
        <v>47446</v>
      </c>
      <c r="AJ5074" s="5" t="s">
        <v>3619</v>
      </c>
      <c r="AK5074" s="5" t="s">
        <v>3622</v>
      </c>
    </row>
    <row r="5075" spans="35:37">
      <c r="AI5075" s="468">
        <v>47447</v>
      </c>
      <c r="AJ5075" s="5" t="s">
        <v>3621</v>
      </c>
      <c r="AK5075" s="5" t="s">
        <v>3623</v>
      </c>
    </row>
    <row r="5076" spans="35:37">
      <c r="AI5076" s="468">
        <v>47448</v>
      </c>
      <c r="AJ5076" s="5" t="s">
        <v>3579</v>
      </c>
      <c r="AK5076" s="5" t="s">
        <v>3625</v>
      </c>
    </row>
    <row r="5077" spans="35:37">
      <c r="AI5077" s="468">
        <v>47449</v>
      </c>
      <c r="AJ5077" s="5" t="s">
        <v>3624</v>
      </c>
      <c r="AK5077" s="5" t="s">
        <v>3627</v>
      </c>
    </row>
    <row r="5078" spans="35:37">
      <c r="AI5078" s="468">
        <v>47450</v>
      </c>
      <c r="AJ5078" s="5" t="s">
        <v>3626</v>
      </c>
      <c r="AK5078" s="5" t="s">
        <v>3618</v>
      </c>
    </row>
    <row r="5079" spans="35:37">
      <c r="AI5079" s="468">
        <v>47451</v>
      </c>
      <c r="AJ5079" s="5" t="s">
        <v>3628</v>
      </c>
      <c r="AK5079" s="5" t="s">
        <v>3620</v>
      </c>
    </row>
    <row r="5080" spans="35:37">
      <c r="AI5080" s="468">
        <v>47452</v>
      </c>
      <c r="AJ5080" s="5" t="s">
        <v>3617</v>
      </c>
      <c r="AK5080" s="5" t="s">
        <v>3622</v>
      </c>
    </row>
    <row r="5081" spans="35:37">
      <c r="AI5081" s="468">
        <v>47453</v>
      </c>
      <c r="AJ5081" s="5" t="s">
        <v>3619</v>
      </c>
      <c r="AK5081" s="5" t="s">
        <v>3623</v>
      </c>
    </row>
    <row r="5082" spans="35:37">
      <c r="AI5082" s="468">
        <v>47454</v>
      </c>
      <c r="AJ5082" s="5" t="s">
        <v>3621</v>
      </c>
      <c r="AK5082" s="5" t="s">
        <v>3625</v>
      </c>
    </row>
    <row r="5083" spans="35:37">
      <c r="AI5083" s="468">
        <v>47455</v>
      </c>
      <c r="AJ5083" s="5" t="s">
        <v>3579</v>
      </c>
      <c r="AK5083" s="5" t="s">
        <v>3627</v>
      </c>
    </row>
    <row r="5084" spans="35:37">
      <c r="AI5084" s="468">
        <v>47456</v>
      </c>
      <c r="AJ5084" s="5" t="s">
        <v>3624</v>
      </c>
      <c r="AK5084" s="5" t="s">
        <v>3618</v>
      </c>
    </row>
    <row r="5085" spans="35:37">
      <c r="AI5085" s="468">
        <v>47457</v>
      </c>
      <c r="AJ5085" s="5" t="s">
        <v>3626</v>
      </c>
      <c r="AK5085" s="5" t="s">
        <v>3623</v>
      </c>
    </row>
    <row r="5086" spans="35:37">
      <c r="AI5086" s="468">
        <v>47458</v>
      </c>
      <c r="AJ5086" s="5" t="s">
        <v>3628</v>
      </c>
      <c r="AK5086" s="5" t="s">
        <v>3625</v>
      </c>
    </row>
    <row r="5087" spans="35:37">
      <c r="AI5087" s="468">
        <v>47459</v>
      </c>
      <c r="AJ5087" s="5" t="s">
        <v>3617</v>
      </c>
      <c r="AK5087" s="5" t="s">
        <v>3627</v>
      </c>
    </row>
    <row r="5088" spans="35:37">
      <c r="AI5088" s="468">
        <v>47460</v>
      </c>
      <c r="AJ5088" s="5" t="s">
        <v>3619</v>
      </c>
      <c r="AK5088" s="5" t="s">
        <v>3618</v>
      </c>
    </row>
    <row r="5089" spans="35:37">
      <c r="AI5089" s="468">
        <v>47461</v>
      </c>
      <c r="AJ5089" s="5" t="s">
        <v>3621</v>
      </c>
      <c r="AK5089" s="5" t="s">
        <v>3620</v>
      </c>
    </row>
    <row r="5090" spans="35:37">
      <c r="AI5090" s="468">
        <v>47462</v>
      </c>
      <c r="AJ5090" s="5" t="s">
        <v>3579</v>
      </c>
      <c r="AK5090" s="5" t="s">
        <v>3622</v>
      </c>
    </row>
    <row r="5091" spans="35:37">
      <c r="AI5091" s="468">
        <v>47463</v>
      </c>
      <c r="AJ5091" s="5" t="s">
        <v>3624</v>
      </c>
      <c r="AK5091" s="5" t="s">
        <v>3623</v>
      </c>
    </row>
    <row r="5092" spans="35:37">
      <c r="AI5092" s="468">
        <v>47464</v>
      </c>
      <c r="AJ5092" s="5" t="s">
        <v>3626</v>
      </c>
      <c r="AK5092" s="5" t="s">
        <v>3625</v>
      </c>
    </row>
    <row r="5093" spans="35:37">
      <c r="AI5093" s="468">
        <v>47465</v>
      </c>
      <c r="AJ5093" s="5" t="s">
        <v>3628</v>
      </c>
      <c r="AK5093" s="5" t="s">
        <v>3627</v>
      </c>
    </row>
    <row r="5094" spans="35:37">
      <c r="AI5094" s="468">
        <v>47466</v>
      </c>
      <c r="AJ5094" s="5" t="s">
        <v>3617</v>
      </c>
      <c r="AK5094" s="5" t="s">
        <v>3618</v>
      </c>
    </row>
    <row r="5095" spans="35:37">
      <c r="AI5095" s="468">
        <v>47467</v>
      </c>
      <c r="AJ5095" s="5" t="s">
        <v>3619</v>
      </c>
      <c r="AK5095" s="5" t="s">
        <v>3620</v>
      </c>
    </row>
    <row r="5096" spans="35:37">
      <c r="AI5096" s="468">
        <v>47468</v>
      </c>
      <c r="AJ5096" s="5" t="s">
        <v>3621</v>
      </c>
      <c r="AK5096" s="5" t="s">
        <v>3622</v>
      </c>
    </row>
    <row r="5097" spans="35:37">
      <c r="AI5097" s="468">
        <v>47469</v>
      </c>
      <c r="AJ5097" s="5" t="s">
        <v>3579</v>
      </c>
      <c r="AK5097" s="5" t="s">
        <v>3623</v>
      </c>
    </row>
    <row r="5098" spans="35:37">
      <c r="AI5098" s="468">
        <v>47470</v>
      </c>
      <c r="AJ5098" s="5" t="s">
        <v>3624</v>
      </c>
      <c r="AK5098" s="5" t="s">
        <v>3625</v>
      </c>
    </row>
    <row r="5099" spans="35:37">
      <c r="AI5099" s="468">
        <v>47471</v>
      </c>
      <c r="AJ5099" s="5" t="s">
        <v>3626</v>
      </c>
      <c r="AK5099" s="5" t="s">
        <v>3627</v>
      </c>
    </row>
    <row r="5100" spans="35:37">
      <c r="AI5100" s="468">
        <v>47472</v>
      </c>
      <c r="AJ5100" s="5" t="s">
        <v>3628</v>
      </c>
      <c r="AK5100" s="5" t="s">
        <v>3618</v>
      </c>
    </row>
    <row r="5101" spans="35:37">
      <c r="AI5101" s="468">
        <v>47473</v>
      </c>
      <c r="AJ5101" s="5" t="s">
        <v>3617</v>
      </c>
      <c r="AK5101" s="5" t="s">
        <v>3620</v>
      </c>
    </row>
    <row r="5102" spans="35:37">
      <c r="AI5102" s="468">
        <v>47474</v>
      </c>
      <c r="AJ5102" s="5" t="s">
        <v>3619</v>
      </c>
      <c r="AK5102" s="5" t="s">
        <v>3622</v>
      </c>
    </row>
    <row r="5103" spans="35:37">
      <c r="AI5103" s="468">
        <v>47475</v>
      </c>
      <c r="AJ5103" s="5" t="s">
        <v>3621</v>
      </c>
      <c r="AK5103" s="5" t="s">
        <v>3623</v>
      </c>
    </row>
    <row r="5104" spans="35:37">
      <c r="AI5104" s="468">
        <v>47476</v>
      </c>
      <c r="AJ5104" s="5" t="s">
        <v>3579</v>
      </c>
      <c r="AK5104" s="5" t="s">
        <v>3625</v>
      </c>
    </row>
    <row r="5105" spans="35:37">
      <c r="AI5105" s="468">
        <v>47477</v>
      </c>
      <c r="AJ5105" s="5" t="s">
        <v>3624</v>
      </c>
      <c r="AK5105" s="5" t="s">
        <v>3627</v>
      </c>
    </row>
    <row r="5106" spans="35:37">
      <c r="AI5106" s="468">
        <v>47478</v>
      </c>
      <c r="AJ5106" s="5" t="s">
        <v>3626</v>
      </c>
      <c r="AK5106" s="5" t="s">
        <v>3618</v>
      </c>
    </row>
    <row r="5107" spans="35:37">
      <c r="AI5107" s="468">
        <v>47479</v>
      </c>
      <c r="AJ5107" s="5" t="s">
        <v>3628</v>
      </c>
      <c r="AK5107" s="5" t="s">
        <v>3620</v>
      </c>
    </row>
    <row r="5108" spans="35:37">
      <c r="AI5108" s="468">
        <v>47480</v>
      </c>
      <c r="AJ5108" s="5" t="s">
        <v>3617</v>
      </c>
      <c r="AK5108" s="5" t="s">
        <v>3622</v>
      </c>
    </row>
    <row r="5109" spans="35:37">
      <c r="AI5109" s="468">
        <v>47481</v>
      </c>
      <c r="AJ5109" s="5" t="s">
        <v>3619</v>
      </c>
      <c r="AK5109" s="5" t="s">
        <v>3623</v>
      </c>
    </row>
    <row r="5110" spans="35:37">
      <c r="AI5110" s="468">
        <v>47482</v>
      </c>
      <c r="AJ5110" s="5" t="s">
        <v>3621</v>
      </c>
      <c r="AK5110" s="5" t="s">
        <v>3625</v>
      </c>
    </row>
    <row r="5111" spans="35:37">
      <c r="AI5111" s="468">
        <v>47483</v>
      </c>
      <c r="AJ5111" s="5" t="s">
        <v>3579</v>
      </c>
      <c r="AK5111" s="5" t="s">
        <v>3627</v>
      </c>
    </row>
    <row r="5112" spans="35:37">
      <c r="AI5112" s="468">
        <v>47484</v>
      </c>
      <c r="AJ5112" s="5" t="s">
        <v>3624</v>
      </c>
      <c r="AK5112" s="5" t="s">
        <v>3618</v>
      </c>
    </row>
    <row r="5113" spans="35:37">
      <c r="AI5113" s="468">
        <v>47485</v>
      </c>
      <c r="AJ5113" s="5" t="s">
        <v>3626</v>
      </c>
      <c r="AK5113" s="5" t="s">
        <v>3620</v>
      </c>
    </row>
    <row r="5114" spans="35:37">
      <c r="AI5114" s="468">
        <v>47486</v>
      </c>
      <c r="AJ5114" s="5" t="s">
        <v>3628</v>
      </c>
      <c r="AK5114" s="5" t="s">
        <v>3622</v>
      </c>
    </row>
    <row r="5115" spans="35:37">
      <c r="AI5115" s="468">
        <v>47487</v>
      </c>
      <c r="AJ5115" s="5" t="s">
        <v>3617</v>
      </c>
      <c r="AK5115" s="5" t="s">
        <v>3625</v>
      </c>
    </row>
    <row r="5116" spans="35:37">
      <c r="AI5116" s="468">
        <v>47488</v>
      </c>
      <c r="AJ5116" s="5" t="s">
        <v>3619</v>
      </c>
      <c r="AK5116" s="5" t="s">
        <v>3627</v>
      </c>
    </row>
    <row r="5117" spans="35:37">
      <c r="AI5117" s="468">
        <v>47489</v>
      </c>
      <c r="AJ5117" s="5" t="s">
        <v>3621</v>
      </c>
      <c r="AK5117" s="5" t="s">
        <v>3618</v>
      </c>
    </row>
    <row r="5118" spans="35:37">
      <c r="AI5118" s="468">
        <v>47490</v>
      </c>
      <c r="AJ5118" s="5" t="s">
        <v>3579</v>
      </c>
      <c r="AK5118" s="5" t="s">
        <v>3620</v>
      </c>
    </row>
    <row r="5119" spans="35:37">
      <c r="AI5119" s="468">
        <v>47491</v>
      </c>
      <c r="AJ5119" s="5" t="s">
        <v>3624</v>
      </c>
      <c r="AK5119" s="5" t="s">
        <v>3622</v>
      </c>
    </row>
    <row r="5120" spans="35:37">
      <c r="AI5120" s="468">
        <v>47492</v>
      </c>
      <c r="AJ5120" s="5" t="s">
        <v>3626</v>
      </c>
      <c r="AK5120" s="5" t="s">
        <v>3623</v>
      </c>
    </row>
    <row r="5121" spans="35:37">
      <c r="AI5121" s="468">
        <v>47493</v>
      </c>
      <c r="AJ5121" s="5" t="s">
        <v>3628</v>
      </c>
      <c r="AK5121" s="5" t="s">
        <v>3625</v>
      </c>
    </row>
    <row r="5122" spans="35:37">
      <c r="AI5122" s="468">
        <v>47494</v>
      </c>
      <c r="AJ5122" s="5" t="s">
        <v>3617</v>
      </c>
      <c r="AK5122" s="5" t="s">
        <v>3627</v>
      </c>
    </row>
    <row r="5123" spans="35:37">
      <c r="AI5123" s="468">
        <v>47495</v>
      </c>
      <c r="AJ5123" s="5" t="s">
        <v>3619</v>
      </c>
      <c r="AK5123" s="5" t="s">
        <v>3618</v>
      </c>
    </row>
    <row r="5124" spans="35:37">
      <c r="AI5124" s="468">
        <v>47496</v>
      </c>
      <c r="AJ5124" s="5" t="s">
        <v>3621</v>
      </c>
      <c r="AK5124" s="5" t="s">
        <v>3620</v>
      </c>
    </row>
    <row r="5125" spans="35:37">
      <c r="AI5125" s="468">
        <v>47497</v>
      </c>
      <c r="AJ5125" s="5" t="s">
        <v>3579</v>
      </c>
      <c r="AK5125" s="5" t="s">
        <v>3622</v>
      </c>
    </row>
    <row r="5126" spans="35:37">
      <c r="AI5126" s="468">
        <v>47498</v>
      </c>
      <c r="AJ5126" s="5" t="s">
        <v>3624</v>
      </c>
      <c r="AK5126" s="5" t="s">
        <v>3623</v>
      </c>
    </row>
    <row r="5127" spans="35:37">
      <c r="AI5127" s="468">
        <v>47499</v>
      </c>
      <c r="AJ5127" s="5" t="s">
        <v>3626</v>
      </c>
      <c r="AK5127" s="5" t="s">
        <v>3625</v>
      </c>
    </row>
    <row r="5128" spans="35:37">
      <c r="AI5128" s="468">
        <v>47500</v>
      </c>
      <c r="AJ5128" s="5" t="s">
        <v>3628</v>
      </c>
      <c r="AK5128" s="5" t="s">
        <v>3627</v>
      </c>
    </row>
    <row r="5129" spans="35:37">
      <c r="AI5129" s="468">
        <v>47501</v>
      </c>
      <c r="AJ5129" s="5" t="s">
        <v>3617</v>
      </c>
      <c r="AK5129" s="5" t="s">
        <v>3618</v>
      </c>
    </row>
    <row r="5130" spans="35:37">
      <c r="AI5130" s="468">
        <v>47502</v>
      </c>
      <c r="AJ5130" s="5" t="s">
        <v>3619</v>
      </c>
      <c r="AK5130" s="5" t="s">
        <v>3620</v>
      </c>
    </row>
    <row r="5131" spans="35:37">
      <c r="AI5131" s="468">
        <v>47503</v>
      </c>
      <c r="AJ5131" s="5" t="s">
        <v>3621</v>
      </c>
      <c r="AK5131" s="5" t="s">
        <v>3622</v>
      </c>
    </row>
    <row r="5132" spans="35:37">
      <c r="AI5132" s="468">
        <v>47504</v>
      </c>
      <c r="AJ5132" s="5" t="s">
        <v>3579</v>
      </c>
      <c r="AK5132" s="5" t="s">
        <v>3623</v>
      </c>
    </row>
    <row r="5133" spans="35:37">
      <c r="AI5133" s="468">
        <v>47505</v>
      </c>
      <c r="AJ5133" s="5" t="s">
        <v>3624</v>
      </c>
      <c r="AK5133" s="5" t="s">
        <v>3625</v>
      </c>
    </row>
    <row r="5134" spans="35:37">
      <c r="AI5134" s="468">
        <v>47506</v>
      </c>
      <c r="AJ5134" s="5" t="s">
        <v>3626</v>
      </c>
      <c r="AK5134" s="5" t="s">
        <v>3627</v>
      </c>
    </row>
    <row r="5135" spans="35:37">
      <c r="AI5135" s="468">
        <v>47507</v>
      </c>
      <c r="AJ5135" s="5" t="s">
        <v>3628</v>
      </c>
      <c r="AK5135" s="5" t="s">
        <v>3618</v>
      </c>
    </row>
    <row r="5136" spans="35:37">
      <c r="AI5136" s="468">
        <v>47508</v>
      </c>
      <c r="AJ5136" s="5" t="s">
        <v>3617</v>
      </c>
      <c r="AK5136" s="5" t="s">
        <v>3620</v>
      </c>
    </row>
    <row r="5137" spans="35:37">
      <c r="AI5137" s="468">
        <v>47509</v>
      </c>
      <c r="AJ5137" s="5" t="s">
        <v>3619</v>
      </c>
      <c r="AK5137" s="5" t="s">
        <v>3622</v>
      </c>
    </row>
    <row r="5138" spans="35:37">
      <c r="AI5138" s="468">
        <v>47510</v>
      </c>
      <c r="AJ5138" s="5" t="s">
        <v>3621</v>
      </c>
      <c r="AK5138" s="5" t="s">
        <v>3623</v>
      </c>
    </row>
    <row r="5139" spans="35:37">
      <c r="AI5139" s="468">
        <v>47511</v>
      </c>
      <c r="AJ5139" s="5" t="s">
        <v>3579</v>
      </c>
      <c r="AK5139" s="5" t="s">
        <v>3625</v>
      </c>
    </row>
    <row r="5140" spans="35:37">
      <c r="AI5140" s="468">
        <v>47512</v>
      </c>
      <c r="AJ5140" s="5" t="s">
        <v>3624</v>
      </c>
      <c r="AK5140" s="5" t="s">
        <v>3627</v>
      </c>
    </row>
    <row r="5141" spans="35:37">
      <c r="AI5141" s="468">
        <v>47513</v>
      </c>
      <c r="AJ5141" s="5" t="s">
        <v>3626</v>
      </c>
      <c r="AK5141" s="5" t="s">
        <v>3618</v>
      </c>
    </row>
    <row r="5142" spans="35:37">
      <c r="AI5142" s="468">
        <v>47514</v>
      </c>
      <c r="AJ5142" s="5" t="s">
        <v>3628</v>
      </c>
      <c r="AK5142" s="5" t="s">
        <v>3620</v>
      </c>
    </row>
    <row r="5143" spans="35:37">
      <c r="AI5143" s="468">
        <v>47515</v>
      </c>
      <c r="AJ5143" s="5" t="s">
        <v>3617</v>
      </c>
      <c r="AK5143" s="5" t="s">
        <v>3622</v>
      </c>
    </row>
    <row r="5144" spans="35:37">
      <c r="AI5144" s="468">
        <v>47516</v>
      </c>
      <c r="AJ5144" s="5" t="s">
        <v>3619</v>
      </c>
      <c r="AK5144" s="5" t="s">
        <v>3623</v>
      </c>
    </row>
    <row r="5145" spans="35:37">
      <c r="AI5145" s="468">
        <v>47517</v>
      </c>
      <c r="AJ5145" s="5" t="s">
        <v>3621</v>
      </c>
      <c r="AK5145" s="5" t="s">
        <v>3627</v>
      </c>
    </row>
    <row r="5146" spans="35:37">
      <c r="AI5146" s="468">
        <v>47518</v>
      </c>
      <c r="AJ5146" s="5" t="s">
        <v>3579</v>
      </c>
      <c r="AK5146" s="5" t="s">
        <v>3618</v>
      </c>
    </row>
    <row r="5147" spans="35:37">
      <c r="AI5147" s="468">
        <v>47519</v>
      </c>
      <c r="AJ5147" s="5" t="s">
        <v>3624</v>
      </c>
      <c r="AK5147" s="5" t="s">
        <v>3620</v>
      </c>
    </row>
    <row r="5148" spans="35:37">
      <c r="AI5148" s="468">
        <v>47520</v>
      </c>
      <c r="AJ5148" s="5" t="s">
        <v>3626</v>
      </c>
      <c r="AK5148" s="5" t="s">
        <v>3622</v>
      </c>
    </row>
    <row r="5149" spans="35:37">
      <c r="AI5149" s="468">
        <v>47521</v>
      </c>
      <c r="AJ5149" s="5" t="s">
        <v>3628</v>
      </c>
      <c r="AK5149" s="5" t="s">
        <v>3623</v>
      </c>
    </row>
    <row r="5150" spans="35:37">
      <c r="AI5150" s="468">
        <v>47522</v>
      </c>
      <c r="AJ5150" s="5" t="s">
        <v>3617</v>
      </c>
      <c r="AK5150" s="5" t="s">
        <v>3625</v>
      </c>
    </row>
    <row r="5151" spans="35:37">
      <c r="AI5151" s="468">
        <v>47523</v>
      </c>
      <c r="AJ5151" s="5" t="s">
        <v>3619</v>
      </c>
      <c r="AK5151" s="5" t="s">
        <v>3627</v>
      </c>
    </row>
    <row r="5152" spans="35:37">
      <c r="AI5152" s="468">
        <v>47524</v>
      </c>
      <c r="AJ5152" s="5" t="s">
        <v>3621</v>
      </c>
      <c r="AK5152" s="5" t="s">
        <v>3618</v>
      </c>
    </row>
    <row r="5153" spans="35:37">
      <c r="AI5153" s="468">
        <v>47525</v>
      </c>
      <c r="AJ5153" s="5" t="s">
        <v>3579</v>
      </c>
      <c r="AK5153" s="5" t="s">
        <v>3620</v>
      </c>
    </row>
    <row r="5154" spans="35:37">
      <c r="AI5154" s="468">
        <v>47526</v>
      </c>
      <c r="AJ5154" s="5" t="s">
        <v>3624</v>
      </c>
      <c r="AK5154" s="5" t="s">
        <v>3622</v>
      </c>
    </row>
    <row r="5155" spans="35:37">
      <c r="AI5155" s="468">
        <v>47527</v>
      </c>
      <c r="AJ5155" s="5" t="s">
        <v>3626</v>
      </c>
      <c r="AK5155" s="5" t="s">
        <v>3623</v>
      </c>
    </row>
    <row r="5156" spans="35:37">
      <c r="AI5156" s="468">
        <v>47528</v>
      </c>
      <c r="AJ5156" s="5" t="s">
        <v>3628</v>
      </c>
      <c r="AK5156" s="5" t="s">
        <v>3625</v>
      </c>
    </row>
    <row r="5157" spans="35:37">
      <c r="AI5157" s="468">
        <v>47529</v>
      </c>
      <c r="AJ5157" s="5" t="s">
        <v>3617</v>
      </c>
      <c r="AK5157" s="5" t="s">
        <v>3627</v>
      </c>
    </row>
    <row r="5158" spans="35:37">
      <c r="AI5158" s="468">
        <v>47530</v>
      </c>
      <c r="AJ5158" s="5" t="s">
        <v>3619</v>
      </c>
      <c r="AK5158" s="5" t="s">
        <v>3618</v>
      </c>
    </row>
    <row r="5159" spans="35:37">
      <c r="AI5159" s="468">
        <v>47531</v>
      </c>
      <c r="AJ5159" s="5" t="s">
        <v>3621</v>
      </c>
      <c r="AK5159" s="5" t="s">
        <v>3620</v>
      </c>
    </row>
    <row r="5160" spans="35:37">
      <c r="AI5160" s="468">
        <v>47532</v>
      </c>
      <c r="AJ5160" s="5" t="s">
        <v>3579</v>
      </c>
      <c r="AK5160" s="5" t="s">
        <v>3622</v>
      </c>
    </row>
    <row r="5161" spans="35:37">
      <c r="AI5161" s="468">
        <v>47533</v>
      </c>
      <c r="AJ5161" s="5" t="s">
        <v>3624</v>
      </c>
      <c r="AK5161" s="5" t="s">
        <v>3623</v>
      </c>
    </row>
    <row r="5162" spans="35:37">
      <c r="AI5162" s="468">
        <v>47534</v>
      </c>
      <c r="AJ5162" s="5" t="s">
        <v>3626</v>
      </c>
      <c r="AK5162" s="5" t="s">
        <v>3625</v>
      </c>
    </row>
    <row r="5163" spans="35:37">
      <c r="AI5163" s="468">
        <v>47535</v>
      </c>
      <c r="AJ5163" s="5" t="s">
        <v>3628</v>
      </c>
      <c r="AK5163" s="5" t="s">
        <v>3627</v>
      </c>
    </row>
    <row r="5164" spans="35:37">
      <c r="AI5164" s="468">
        <v>47536</v>
      </c>
      <c r="AJ5164" s="5" t="s">
        <v>3617</v>
      </c>
      <c r="AK5164" s="5" t="s">
        <v>3618</v>
      </c>
    </row>
    <row r="5165" spans="35:37">
      <c r="AI5165" s="468">
        <v>47537</v>
      </c>
      <c r="AJ5165" s="5" t="s">
        <v>3619</v>
      </c>
      <c r="AK5165" s="5" t="s">
        <v>3620</v>
      </c>
    </row>
    <row r="5166" spans="35:37">
      <c r="AI5166" s="468">
        <v>47538</v>
      </c>
      <c r="AJ5166" s="5" t="s">
        <v>3621</v>
      </c>
      <c r="AK5166" s="5" t="s">
        <v>3622</v>
      </c>
    </row>
    <row r="5167" spans="35:37">
      <c r="AI5167" s="468">
        <v>47539</v>
      </c>
      <c r="AJ5167" s="5" t="s">
        <v>3579</v>
      </c>
      <c r="AK5167" s="5" t="s">
        <v>3623</v>
      </c>
    </row>
    <row r="5168" spans="35:37">
      <c r="AI5168" s="468">
        <v>47540</v>
      </c>
      <c r="AJ5168" s="5" t="s">
        <v>3624</v>
      </c>
      <c r="AK5168" s="5" t="s">
        <v>3625</v>
      </c>
    </row>
    <row r="5169" spans="35:37">
      <c r="AI5169" s="468">
        <v>47541</v>
      </c>
      <c r="AJ5169" s="5" t="s">
        <v>3626</v>
      </c>
      <c r="AK5169" s="5" t="s">
        <v>3627</v>
      </c>
    </row>
    <row r="5170" spans="35:37">
      <c r="AI5170" s="468">
        <v>47542</v>
      </c>
      <c r="AJ5170" s="5" t="s">
        <v>3628</v>
      </c>
      <c r="AK5170" s="5" t="s">
        <v>3618</v>
      </c>
    </row>
    <row r="5171" spans="35:37">
      <c r="AI5171" s="468">
        <v>47543</v>
      </c>
      <c r="AJ5171" s="5" t="s">
        <v>3617</v>
      </c>
      <c r="AK5171" s="5" t="s">
        <v>3620</v>
      </c>
    </row>
    <row r="5172" spans="35:37">
      <c r="AI5172" s="468">
        <v>47544</v>
      </c>
      <c r="AJ5172" s="5" t="s">
        <v>3619</v>
      </c>
      <c r="AK5172" s="5" t="s">
        <v>3622</v>
      </c>
    </row>
    <row r="5173" spans="35:37">
      <c r="AI5173" s="468">
        <v>47545</v>
      </c>
      <c r="AJ5173" s="5" t="s">
        <v>3621</v>
      </c>
      <c r="AK5173" s="5" t="s">
        <v>3623</v>
      </c>
    </row>
    <row r="5174" spans="35:37">
      <c r="AI5174" s="468">
        <v>47546</v>
      </c>
      <c r="AJ5174" s="5" t="s">
        <v>3579</v>
      </c>
      <c r="AK5174" s="5" t="s">
        <v>3618</v>
      </c>
    </row>
    <row r="5175" spans="35:37">
      <c r="AI5175" s="468">
        <v>47547</v>
      </c>
      <c r="AJ5175" s="5" t="s">
        <v>3624</v>
      </c>
      <c r="AK5175" s="5" t="s">
        <v>3620</v>
      </c>
    </row>
    <row r="5176" spans="35:37">
      <c r="AI5176" s="468">
        <v>47548</v>
      </c>
      <c r="AJ5176" s="5" t="s">
        <v>3626</v>
      </c>
      <c r="AK5176" s="5" t="s">
        <v>3622</v>
      </c>
    </row>
    <row r="5177" spans="35:37">
      <c r="AI5177" s="468">
        <v>47549</v>
      </c>
      <c r="AJ5177" s="5" t="s">
        <v>3628</v>
      </c>
      <c r="AK5177" s="5" t="s">
        <v>3623</v>
      </c>
    </row>
    <row r="5178" spans="35:37">
      <c r="AI5178" s="468">
        <v>47550</v>
      </c>
      <c r="AJ5178" s="5" t="s">
        <v>3617</v>
      </c>
      <c r="AK5178" s="5" t="s">
        <v>3625</v>
      </c>
    </row>
    <row r="5179" spans="35:37">
      <c r="AI5179" s="468">
        <v>47551</v>
      </c>
      <c r="AJ5179" s="5" t="s">
        <v>3619</v>
      </c>
      <c r="AK5179" s="5" t="s">
        <v>3627</v>
      </c>
    </row>
    <row r="5180" spans="35:37">
      <c r="AI5180" s="468">
        <v>47552</v>
      </c>
      <c r="AJ5180" s="5" t="s">
        <v>3621</v>
      </c>
      <c r="AK5180" s="5" t="s">
        <v>3618</v>
      </c>
    </row>
    <row r="5181" spans="35:37">
      <c r="AI5181" s="468">
        <v>47553</v>
      </c>
      <c r="AJ5181" s="5" t="s">
        <v>3579</v>
      </c>
      <c r="AK5181" s="5" t="s">
        <v>3620</v>
      </c>
    </row>
    <row r="5182" spans="35:37">
      <c r="AI5182" s="468">
        <v>47554</v>
      </c>
      <c r="AJ5182" s="5" t="s">
        <v>3624</v>
      </c>
      <c r="AK5182" s="5" t="s">
        <v>3622</v>
      </c>
    </row>
    <row r="5183" spans="35:37">
      <c r="AI5183" s="468">
        <v>47555</v>
      </c>
      <c r="AJ5183" s="5" t="s">
        <v>3626</v>
      </c>
      <c r="AK5183" s="5" t="s">
        <v>3623</v>
      </c>
    </row>
    <row r="5184" spans="35:37">
      <c r="AI5184" s="468">
        <v>47556</v>
      </c>
      <c r="AJ5184" s="5" t="s">
        <v>3628</v>
      </c>
      <c r="AK5184" s="5" t="s">
        <v>3625</v>
      </c>
    </row>
    <row r="5185" spans="35:37">
      <c r="AI5185" s="468">
        <v>47557</v>
      </c>
      <c r="AJ5185" s="5" t="s">
        <v>3617</v>
      </c>
      <c r="AK5185" s="5" t="s">
        <v>3627</v>
      </c>
    </row>
    <row r="5186" spans="35:37">
      <c r="AI5186" s="468">
        <v>47558</v>
      </c>
      <c r="AJ5186" s="5" t="s">
        <v>3619</v>
      </c>
      <c r="AK5186" s="5" t="s">
        <v>3618</v>
      </c>
    </row>
    <row r="5187" spans="35:37">
      <c r="AI5187" s="468">
        <v>47559</v>
      </c>
      <c r="AJ5187" s="5" t="s">
        <v>3621</v>
      </c>
      <c r="AK5187" s="5" t="s">
        <v>3620</v>
      </c>
    </row>
    <row r="5188" spans="35:37">
      <c r="AI5188" s="468">
        <v>47560</v>
      </c>
      <c r="AJ5188" s="5" t="s">
        <v>3579</v>
      </c>
      <c r="AK5188" s="5" t="s">
        <v>3622</v>
      </c>
    </row>
    <row r="5189" spans="35:37">
      <c r="AI5189" s="468">
        <v>47561</v>
      </c>
      <c r="AJ5189" s="5" t="s">
        <v>3624</v>
      </c>
      <c r="AK5189" s="5" t="s">
        <v>3623</v>
      </c>
    </row>
    <row r="5190" spans="35:37">
      <c r="AI5190" s="468">
        <v>47562</v>
      </c>
      <c r="AJ5190" s="5" t="s">
        <v>3626</v>
      </c>
      <c r="AK5190" s="5" t="s">
        <v>3625</v>
      </c>
    </row>
    <row r="5191" spans="35:37">
      <c r="AI5191" s="468">
        <v>47563</v>
      </c>
      <c r="AJ5191" s="5" t="s">
        <v>3628</v>
      </c>
      <c r="AK5191" s="5" t="s">
        <v>3627</v>
      </c>
    </row>
    <row r="5192" spans="35:37">
      <c r="AI5192" s="468">
        <v>47564</v>
      </c>
      <c r="AJ5192" s="5" t="s">
        <v>3617</v>
      </c>
      <c r="AK5192" s="5" t="s">
        <v>3618</v>
      </c>
    </row>
    <row r="5193" spans="35:37">
      <c r="AI5193" s="468">
        <v>47565</v>
      </c>
      <c r="AJ5193" s="5" t="s">
        <v>3619</v>
      </c>
      <c r="AK5193" s="5" t="s">
        <v>3620</v>
      </c>
    </row>
    <row r="5194" spans="35:37">
      <c r="AI5194" s="468">
        <v>47566</v>
      </c>
      <c r="AJ5194" s="5" t="s">
        <v>3621</v>
      </c>
      <c r="AK5194" s="5" t="s">
        <v>3622</v>
      </c>
    </row>
    <row r="5195" spans="35:37">
      <c r="AI5195" s="468">
        <v>47567</v>
      </c>
      <c r="AJ5195" s="5" t="s">
        <v>3579</v>
      </c>
      <c r="AK5195" s="5" t="s">
        <v>3623</v>
      </c>
    </row>
    <row r="5196" spans="35:37">
      <c r="AI5196" s="468">
        <v>47568</v>
      </c>
      <c r="AJ5196" s="5" t="s">
        <v>3624</v>
      </c>
      <c r="AK5196" s="5" t="s">
        <v>3625</v>
      </c>
    </row>
    <row r="5197" spans="35:37">
      <c r="AI5197" s="468">
        <v>47569</v>
      </c>
      <c r="AJ5197" s="5" t="s">
        <v>3626</v>
      </c>
      <c r="AK5197" s="5" t="s">
        <v>3627</v>
      </c>
    </row>
    <row r="5198" spans="35:37">
      <c r="AI5198" s="468">
        <v>47570</v>
      </c>
      <c r="AJ5198" s="5" t="s">
        <v>3628</v>
      </c>
      <c r="AK5198" s="5" t="s">
        <v>3618</v>
      </c>
    </row>
    <row r="5199" spans="35:37">
      <c r="AI5199" s="468">
        <v>47571</v>
      </c>
      <c r="AJ5199" s="5" t="s">
        <v>3617</v>
      </c>
      <c r="AK5199" s="5" t="s">
        <v>3620</v>
      </c>
    </row>
    <row r="5200" spans="35:37">
      <c r="AI5200" s="468">
        <v>47572</v>
      </c>
      <c r="AJ5200" s="5" t="s">
        <v>3619</v>
      </c>
      <c r="AK5200" s="5" t="s">
        <v>3622</v>
      </c>
    </row>
    <row r="5201" spans="35:37">
      <c r="AI5201" s="468">
        <v>47573</v>
      </c>
      <c r="AJ5201" s="5" t="s">
        <v>3621</v>
      </c>
      <c r="AK5201" s="5" t="s">
        <v>3623</v>
      </c>
    </row>
    <row r="5202" spans="35:37">
      <c r="AI5202" s="468">
        <v>47574</v>
      </c>
      <c r="AJ5202" s="5" t="s">
        <v>3579</v>
      </c>
      <c r="AK5202" s="5" t="s">
        <v>3625</v>
      </c>
    </row>
    <row r="5203" spans="35:37">
      <c r="AI5203" s="468">
        <v>47575</v>
      </c>
      <c r="AJ5203" s="5" t="s">
        <v>3624</v>
      </c>
      <c r="AK5203" s="5" t="s">
        <v>3627</v>
      </c>
    </row>
    <row r="5204" spans="35:37">
      <c r="AI5204" s="468">
        <v>47576</v>
      </c>
      <c r="AJ5204" s="5" t="s">
        <v>3626</v>
      </c>
      <c r="AK5204" s="5" t="s">
        <v>3620</v>
      </c>
    </row>
    <row r="5205" spans="35:37">
      <c r="AI5205" s="468">
        <v>47577</v>
      </c>
      <c r="AJ5205" s="5" t="s">
        <v>3628</v>
      </c>
      <c r="AK5205" s="5" t="s">
        <v>3622</v>
      </c>
    </row>
    <row r="5206" spans="35:37">
      <c r="AI5206" s="468">
        <v>47578</v>
      </c>
      <c r="AJ5206" s="5" t="s">
        <v>3617</v>
      </c>
      <c r="AK5206" s="5" t="s">
        <v>3623</v>
      </c>
    </row>
    <row r="5207" spans="35:37">
      <c r="AI5207" s="468">
        <v>47579</v>
      </c>
      <c r="AJ5207" s="5" t="s">
        <v>3619</v>
      </c>
      <c r="AK5207" s="5" t="s">
        <v>3625</v>
      </c>
    </row>
    <row r="5208" spans="35:37">
      <c r="AI5208" s="468">
        <v>47580</v>
      </c>
      <c r="AJ5208" s="5" t="s">
        <v>3621</v>
      </c>
      <c r="AK5208" s="5" t="s">
        <v>3627</v>
      </c>
    </row>
    <row r="5209" spans="35:37">
      <c r="AI5209" s="468">
        <v>47581</v>
      </c>
      <c r="AJ5209" s="5" t="s">
        <v>3579</v>
      </c>
      <c r="AK5209" s="5" t="s">
        <v>3618</v>
      </c>
    </row>
    <row r="5210" spans="35:37">
      <c r="AI5210" s="468">
        <v>47582</v>
      </c>
      <c r="AJ5210" s="5" t="s">
        <v>3624</v>
      </c>
      <c r="AK5210" s="5" t="s">
        <v>3620</v>
      </c>
    </row>
    <row r="5211" spans="35:37">
      <c r="AI5211" s="468">
        <v>47583</v>
      </c>
      <c r="AJ5211" s="5" t="s">
        <v>3626</v>
      </c>
      <c r="AK5211" s="5" t="s">
        <v>3622</v>
      </c>
    </row>
    <row r="5212" spans="35:37">
      <c r="AI5212" s="468">
        <v>47584</v>
      </c>
      <c r="AJ5212" s="5" t="s">
        <v>3628</v>
      </c>
      <c r="AK5212" s="5" t="s">
        <v>3623</v>
      </c>
    </row>
    <row r="5213" spans="35:37">
      <c r="AI5213" s="468">
        <v>47585</v>
      </c>
      <c r="AJ5213" s="5" t="s">
        <v>3617</v>
      </c>
      <c r="AK5213" s="5" t="s">
        <v>3625</v>
      </c>
    </row>
    <row r="5214" spans="35:37">
      <c r="AI5214" s="468">
        <v>47586</v>
      </c>
      <c r="AJ5214" s="5" t="s">
        <v>3619</v>
      </c>
      <c r="AK5214" s="5" t="s">
        <v>3627</v>
      </c>
    </row>
    <row r="5215" spans="35:37">
      <c r="AI5215" s="468">
        <v>47587</v>
      </c>
      <c r="AJ5215" s="5" t="s">
        <v>3621</v>
      </c>
      <c r="AK5215" s="5" t="s">
        <v>3618</v>
      </c>
    </row>
    <row r="5216" spans="35:37">
      <c r="AI5216" s="468">
        <v>47588</v>
      </c>
      <c r="AJ5216" s="5" t="s">
        <v>3579</v>
      </c>
      <c r="AK5216" s="5" t="s">
        <v>3620</v>
      </c>
    </row>
    <row r="5217" spans="35:37">
      <c r="AI5217" s="468">
        <v>47589</v>
      </c>
      <c r="AJ5217" s="5" t="s">
        <v>3624</v>
      </c>
      <c r="AK5217" s="5" t="s">
        <v>3622</v>
      </c>
    </row>
    <row r="5218" spans="35:37">
      <c r="AI5218" s="468">
        <v>47590</v>
      </c>
      <c r="AJ5218" s="5" t="s">
        <v>3626</v>
      </c>
      <c r="AK5218" s="5" t="s">
        <v>3623</v>
      </c>
    </row>
    <row r="5219" spans="35:37">
      <c r="AI5219" s="468">
        <v>47591</v>
      </c>
      <c r="AJ5219" s="5" t="s">
        <v>3628</v>
      </c>
      <c r="AK5219" s="5" t="s">
        <v>3625</v>
      </c>
    </row>
    <row r="5220" spans="35:37">
      <c r="AI5220" s="468">
        <v>47592</v>
      </c>
      <c r="AJ5220" s="5" t="s">
        <v>3617</v>
      </c>
      <c r="AK5220" s="5" t="s">
        <v>3627</v>
      </c>
    </row>
    <row r="5221" spans="35:37">
      <c r="AI5221" s="468">
        <v>47593</v>
      </c>
      <c r="AJ5221" s="5" t="s">
        <v>3619</v>
      </c>
      <c r="AK5221" s="5" t="s">
        <v>3618</v>
      </c>
    </row>
    <row r="5222" spans="35:37">
      <c r="AI5222" s="468">
        <v>47594</v>
      </c>
      <c r="AJ5222" s="5" t="s">
        <v>3621</v>
      </c>
      <c r="AK5222" s="5" t="s">
        <v>3620</v>
      </c>
    </row>
    <row r="5223" spans="35:37">
      <c r="AI5223" s="468">
        <v>47595</v>
      </c>
      <c r="AJ5223" s="5" t="s">
        <v>3579</v>
      </c>
      <c r="AK5223" s="5" t="s">
        <v>3622</v>
      </c>
    </row>
    <row r="5224" spans="35:37">
      <c r="AI5224" s="468">
        <v>47596</v>
      </c>
      <c r="AJ5224" s="5" t="s">
        <v>3624</v>
      </c>
      <c r="AK5224" s="5" t="s">
        <v>3623</v>
      </c>
    </row>
    <row r="5225" spans="35:37">
      <c r="AI5225" s="468">
        <v>47597</v>
      </c>
      <c r="AJ5225" s="5" t="s">
        <v>3626</v>
      </c>
      <c r="AK5225" s="5" t="s">
        <v>3625</v>
      </c>
    </row>
    <row r="5226" spans="35:37">
      <c r="AI5226" s="468">
        <v>47598</v>
      </c>
      <c r="AJ5226" s="5" t="s">
        <v>3628</v>
      </c>
      <c r="AK5226" s="5" t="s">
        <v>3627</v>
      </c>
    </row>
    <row r="5227" spans="35:37">
      <c r="AI5227" s="468">
        <v>47599</v>
      </c>
      <c r="AJ5227" s="5" t="s">
        <v>3617</v>
      </c>
      <c r="AK5227" s="5" t="s">
        <v>3618</v>
      </c>
    </row>
    <row r="5228" spans="35:37">
      <c r="AI5228" s="468">
        <v>47600</v>
      </c>
      <c r="AJ5228" s="5" t="s">
        <v>3619</v>
      </c>
      <c r="AK5228" s="5" t="s">
        <v>3620</v>
      </c>
    </row>
    <row r="5229" spans="35:37">
      <c r="AI5229" s="468">
        <v>47601</v>
      </c>
      <c r="AJ5229" s="5" t="s">
        <v>3621</v>
      </c>
      <c r="AK5229" s="5" t="s">
        <v>3622</v>
      </c>
    </row>
    <row r="5230" spans="35:37">
      <c r="AI5230" s="468">
        <v>47602</v>
      </c>
      <c r="AJ5230" s="5" t="s">
        <v>3579</v>
      </c>
      <c r="AK5230" s="5" t="s">
        <v>3623</v>
      </c>
    </row>
    <row r="5231" spans="35:37">
      <c r="AI5231" s="468">
        <v>47603</v>
      </c>
      <c r="AJ5231" s="5" t="s">
        <v>3624</v>
      </c>
      <c r="AK5231" s="5" t="s">
        <v>3625</v>
      </c>
    </row>
    <row r="5232" spans="35:37">
      <c r="AI5232" s="468">
        <v>47604</v>
      </c>
      <c r="AJ5232" s="5" t="s">
        <v>3626</v>
      </c>
      <c r="AK5232" s="5" t="s">
        <v>3627</v>
      </c>
    </row>
    <row r="5233" spans="35:37">
      <c r="AI5233" s="468">
        <v>47605</v>
      </c>
      <c r="AJ5233" s="5" t="s">
        <v>3628</v>
      </c>
      <c r="AK5233" s="5" t="s">
        <v>3622</v>
      </c>
    </row>
    <row r="5234" spans="35:37">
      <c r="AI5234" s="468">
        <v>47606</v>
      </c>
      <c r="AJ5234" s="5" t="s">
        <v>3617</v>
      </c>
      <c r="AK5234" s="5" t="s">
        <v>3623</v>
      </c>
    </row>
    <row r="5235" spans="35:37">
      <c r="AI5235" s="468">
        <v>47607</v>
      </c>
      <c r="AJ5235" s="5" t="s">
        <v>3619</v>
      </c>
      <c r="AK5235" s="5" t="s">
        <v>3625</v>
      </c>
    </row>
    <row r="5236" spans="35:37">
      <c r="AI5236" s="468">
        <v>47608</v>
      </c>
      <c r="AJ5236" s="5" t="s">
        <v>3621</v>
      </c>
      <c r="AK5236" s="5" t="s">
        <v>3627</v>
      </c>
    </row>
    <row r="5237" spans="35:37">
      <c r="AI5237" s="468">
        <v>47609</v>
      </c>
      <c r="AJ5237" s="5" t="s">
        <v>3579</v>
      </c>
      <c r="AK5237" s="5" t="s">
        <v>3618</v>
      </c>
    </row>
    <row r="5238" spans="35:37">
      <c r="AI5238" s="468">
        <v>47610</v>
      </c>
      <c r="AJ5238" s="5" t="s">
        <v>3624</v>
      </c>
      <c r="AK5238" s="5" t="s">
        <v>3620</v>
      </c>
    </row>
    <row r="5239" spans="35:37">
      <c r="AI5239" s="468">
        <v>47611</v>
      </c>
      <c r="AJ5239" s="5" t="s">
        <v>3626</v>
      </c>
      <c r="AK5239" s="5" t="s">
        <v>3622</v>
      </c>
    </row>
    <row r="5240" spans="35:37">
      <c r="AI5240" s="468">
        <v>47612</v>
      </c>
      <c r="AJ5240" s="5" t="s">
        <v>3628</v>
      </c>
      <c r="AK5240" s="5" t="s">
        <v>3623</v>
      </c>
    </row>
    <row r="5241" spans="35:37">
      <c r="AI5241" s="468">
        <v>47613</v>
      </c>
      <c r="AJ5241" s="5" t="s">
        <v>3617</v>
      </c>
      <c r="AK5241" s="5" t="s">
        <v>3625</v>
      </c>
    </row>
    <row r="5242" spans="35:37">
      <c r="AI5242" s="468">
        <v>47614</v>
      </c>
      <c r="AJ5242" s="5" t="s">
        <v>3619</v>
      </c>
      <c r="AK5242" s="5" t="s">
        <v>3627</v>
      </c>
    </row>
    <row r="5243" spans="35:37">
      <c r="AI5243" s="468">
        <v>47615</v>
      </c>
      <c r="AJ5243" s="5" t="s">
        <v>3621</v>
      </c>
      <c r="AK5243" s="5" t="s">
        <v>3618</v>
      </c>
    </row>
    <row r="5244" spans="35:37">
      <c r="AI5244" s="468">
        <v>47616</v>
      </c>
      <c r="AJ5244" s="5" t="s">
        <v>3579</v>
      </c>
      <c r="AK5244" s="5" t="s">
        <v>3620</v>
      </c>
    </row>
    <row r="5245" spans="35:37">
      <c r="AI5245" s="468">
        <v>47617</v>
      </c>
      <c r="AJ5245" s="5" t="s">
        <v>3624</v>
      </c>
      <c r="AK5245" s="5" t="s">
        <v>3622</v>
      </c>
    </row>
    <row r="5246" spans="35:37">
      <c r="AI5246" s="468">
        <v>47618</v>
      </c>
      <c r="AJ5246" s="5" t="s">
        <v>3626</v>
      </c>
      <c r="AK5246" s="5" t="s">
        <v>3623</v>
      </c>
    </row>
    <row r="5247" spans="35:37">
      <c r="AI5247" s="468">
        <v>47619</v>
      </c>
      <c r="AJ5247" s="5" t="s">
        <v>3628</v>
      </c>
      <c r="AK5247" s="5" t="s">
        <v>3625</v>
      </c>
    </row>
    <row r="5248" spans="35:37">
      <c r="AI5248" s="468">
        <v>47620</v>
      </c>
      <c r="AJ5248" s="5" t="s">
        <v>3617</v>
      </c>
      <c r="AK5248" s="5" t="s">
        <v>3627</v>
      </c>
    </row>
    <row r="5249" spans="35:37">
      <c r="AI5249" s="468">
        <v>47621</v>
      </c>
      <c r="AJ5249" s="5" t="s">
        <v>3619</v>
      </c>
      <c r="AK5249" s="5" t="s">
        <v>3618</v>
      </c>
    </row>
    <row r="5250" spans="35:37">
      <c r="AI5250" s="468">
        <v>47622</v>
      </c>
      <c r="AJ5250" s="5" t="s">
        <v>3621</v>
      </c>
      <c r="AK5250" s="5" t="s">
        <v>3620</v>
      </c>
    </row>
    <row r="5251" spans="35:37">
      <c r="AI5251" s="468">
        <v>47623</v>
      </c>
      <c r="AJ5251" s="5" t="s">
        <v>3579</v>
      </c>
      <c r="AK5251" s="5" t="s">
        <v>3622</v>
      </c>
    </row>
    <row r="5252" spans="35:37">
      <c r="AI5252" s="468">
        <v>47624</v>
      </c>
      <c r="AJ5252" s="5" t="s">
        <v>3624</v>
      </c>
      <c r="AK5252" s="5" t="s">
        <v>3623</v>
      </c>
    </row>
    <row r="5253" spans="35:37">
      <c r="AI5253" s="468">
        <v>47625</v>
      </c>
      <c r="AJ5253" s="5" t="s">
        <v>3626</v>
      </c>
      <c r="AK5253" s="5" t="s">
        <v>3625</v>
      </c>
    </row>
    <row r="5254" spans="35:37">
      <c r="AI5254" s="468">
        <v>47626</v>
      </c>
      <c r="AJ5254" s="5" t="s">
        <v>3628</v>
      </c>
      <c r="AK5254" s="5" t="s">
        <v>3627</v>
      </c>
    </row>
    <row r="5255" spans="35:37">
      <c r="AI5255" s="468">
        <v>47627</v>
      </c>
      <c r="AJ5255" s="5" t="s">
        <v>3617</v>
      </c>
      <c r="AK5255" s="5" t="s">
        <v>3618</v>
      </c>
    </row>
    <row r="5256" spans="35:37">
      <c r="AI5256" s="468">
        <v>47628</v>
      </c>
      <c r="AJ5256" s="5" t="s">
        <v>3619</v>
      </c>
      <c r="AK5256" s="5" t="s">
        <v>3620</v>
      </c>
    </row>
    <row r="5257" spans="35:37">
      <c r="AI5257" s="468">
        <v>47629</v>
      </c>
      <c r="AJ5257" s="5" t="s">
        <v>3621</v>
      </c>
      <c r="AK5257" s="5" t="s">
        <v>3622</v>
      </c>
    </row>
    <row r="5258" spans="35:37">
      <c r="AI5258" s="468">
        <v>47630</v>
      </c>
      <c r="AJ5258" s="5" t="s">
        <v>3579</v>
      </c>
      <c r="AK5258" s="5" t="s">
        <v>3623</v>
      </c>
    </row>
    <row r="5259" spans="35:37">
      <c r="AI5259" s="468">
        <v>47631</v>
      </c>
      <c r="AJ5259" s="5" t="s">
        <v>3624</v>
      </c>
      <c r="AK5259" s="5" t="s">
        <v>3625</v>
      </c>
    </row>
    <row r="5260" spans="35:37">
      <c r="AI5260" s="468">
        <v>47632</v>
      </c>
      <c r="AJ5260" s="5" t="s">
        <v>3626</v>
      </c>
      <c r="AK5260" s="5" t="s">
        <v>3627</v>
      </c>
    </row>
    <row r="5261" spans="35:37">
      <c r="AI5261" s="468">
        <v>47633</v>
      </c>
      <c r="AJ5261" s="5" t="s">
        <v>3628</v>
      </c>
      <c r="AK5261" s="5" t="s">
        <v>3618</v>
      </c>
    </row>
    <row r="5262" spans="35:37">
      <c r="AI5262" s="468">
        <v>47634</v>
      </c>
      <c r="AJ5262" s="5" t="s">
        <v>3617</v>
      </c>
      <c r="AK5262" s="5" t="s">
        <v>3620</v>
      </c>
    </row>
    <row r="5263" spans="35:37">
      <c r="AI5263" s="468">
        <v>47635</v>
      </c>
      <c r="AJ5263" s="5" t="s">
        <v>3619</v>
      </c>
      <c r="AK5263" s="5" t="s">
        <v>3623</v>
      </c>
    </row>
    <row r="5264" spans="35:37">
      <c r="AI5264" s="468">
        <v>47636</v>
      </c>
      <c r="AJ5264" s="5" t="s">
        <v>3621</v>
      </c>
      <c r="AK5264" s="5" t="s">
        <v>3625</v>
      </c>
    </row>
    <row r="5265" spans="35:37">
      <c r="AI5265" s="468">
        <v>47637</v>
      </c>
      <c r="AJ5265" s="5" t="s">
        <v>3579</v>
      </c>
      <c r="AK5265" s="5" t="s">
        <v>3627</v>
      </c>
    </row>
    <row r="5266" spans="35:37">
      <c r="AI5266" s="468">
        <v>47638</v>
      </c>
      <c r="AJ5266" s="5" t="s">
        <v>3624</v>
      </c>
      <c r="AK5266" s="5" t="s">
        <v>3618</v>
      </c>
    </row>
    <row r="5267" spans="35:37">
      <c r="AI5267" s="468">
        <v>47639</v>
      </c>
      <c r="AJ5267" s="5" t="s">
        <v>3626</v>
      </c>
      <c r="AK5267" s="5" t="s">
        <v>3620</v>
      </c>
    </row>
    <row r="5268" spans="35:37">
      <c r="AI5268" s="468">
        <v>47640</v>
      </c>
      <c r="AJ5268" s="5" t="s">
        <v>3628</v>
      </c>
      <c r="AK5268" s="5" t="s">
        <v>3622</v>
      </c>
    </row>
    <row r="5269" spans="35:37">
      <c r="AI5269" s="468">
        <v>47641</v>
      </c>
      <c r="AJ5269" s="5" t="s">
        <v>3617</v>
      </c>
      <c r="AK5269" s="5" t="s">
        <v>3623</v>
      </c>
    </row>
    <row r="5270" spans="35:37">
      <c r="AI5270" s="468">
        <v>47642</v>
      </c>
      <c r="AJ5270" s="5" t="s">
        <v>3619</v>
      </c>
      <c r="AK5270" s="5" t="s">
        <v>3625</v>
      </c>
    </row>
    <row r="5271" spans="35:37">
      <c r="AI5271" s="468">
        <v>47643</v>
      </c>
      <c r="AJ5271" s="5" t="s">
        <v>3621</v>
      </c>
      <c r="AK5271" s="5" t="s">
        <v>3627</v>
      </c>
    </row>
    <row r="5272" spans="35:37">
      <c r="AI5272" s="468">
        <v>47644</v>
      </c>
      <c r="AJ5272" s="5" t="s">
        <v>3579</v>
      </c>
      <c r="AK5272" s="5" t="s">
        <v>3618</v>
      </c>
    </row>
    <row r="5273" spans="35:37">
      <c r="AI5273" s="468">
        <v>47645</v>
      </c>
      <c r="AJ5273" s="5" t="s">
        <v>3624</v>
      </c>
      <c r="AK5273" s="5" t="s">
        <v>3620</v>
      </c>
    </row>
    <row r="5274" spans="35:37">
      <c r="AI5274" s="468">
        <v>47646</v>
      </c>
      <c r="AJ5274" s="5" t="s">
        <v>3626</v>
      </c>
      <c r="AK5274" s="5" t="s">
        <v>3622</v>
      </c>
    </row>
    <row r="5275" spans="35:37">
      <c r="AI5275" s="468">
        <v>47647</v>
      </c>
      <c r="AJ5275" s="5" t="s">
        <v>3628</v>
      </c>
      <c r="AK5275" s="5" t="s">
        <v>3623</v>
      </c>
    </row>
    <row r="5276" spans="35:37">
      <c r="AI5276" s="468">
        <v>47648</v>
      </c>
      <c r="AJ5276" s="5" t="s">
        <v>3617</v>
      </c>
      <c r="AK5276" s="5" t="s">
        <v>3625</v>
      </c>
    </row>
    <row r="5277" spans="35:37">
      <c r="AI5277" s="468">
        <v>47649</v>
      </c>
      <c r="AJ5277" s="5" t="s">
        <v>3619</v>
      </c>
      <c r="AK5277" s="5" t="s">
        <v>3627</v>
      </c>
    </row>
    <row r="5278" spans="35:37">
      <c r="AI5278" s="468">
        <v>47650</v>
      </c>
      <c r="AJ5278" s="5" t="s">
        <v>3621</v>
      </c>
      <c r="AK5278" s="5" t="s">
        <v>3618</v>
      </c>
    </row>
    <row r="5279" spans="35:37">
      <c r="AI5279" s="468">
        <v>47651</v>
      </c>
      <c r="AJ5279" s="5" t="s">
        <v>3579</v>
      </c>
      <c r="AK5279" s="5" t="s">
        <v>3620</v>
      </c>
    </row>
    <row r="5280" spans="35:37">
      <c r="AI5280" s="468">
        <v>47652</v>
      </c>
      <c r="AJ5280" s="5" t="s">
        <v>3624</v>
      </c>
      <c r="AK5280" s="5" t="s">
        <v>3622</v>
      </c>
    </row>
    <row r="5281" spans="35:37">
      <c r="AI5281" s="468">
        <v>47653</v>
      </c>
      <c r="AJ5281" s="5" t="s">
        <v>3626</v>
      </c>
      <c r="AK5281" s="5" t="s">
        <v>3623</v>
      </c>
    </row>
    <row r="5282" spans="35:37">
      <c r="AI5282" s="468">
        <v>47654</v>
      </c>
      <c r="AJ5282" s="5" t="s">
        <v>3628</v>
      </c>
      <c r="AK5282" s="5" t="s">
        <v>3625</v>
      </c>
    </row>
    <row r="5283" spans="35:37">
      <c r="AI5283" s="468">
        <v>47655</v>
      </c>
      <c r="AJ5283" s="5" t="s">
        <v>3617</v>
      </c>
      <c r="AK5283" s="5" t="s">
        <v>3627</v>
      </c>
    </row>
    <row r="5284" spans="35:37">
      <c r="AI5284" s="468">
        <v>47656</v>
      </c>
      <c r="AJ5284" s="5" t="s">
        <v>3619</v>
      </c>
      <c r="AK5284" s="5" t="s">
        <v>3618</v>
      </c>
    </row>
    <row r="5285" spans="35:37">
      <c r="AI5285" s="468">
        <v>47657</v>
      </c>
      <c r="AJ5285" s="5" t="s">
        <v>3621</v>
      </c>
      <c r="AK5285" s="5" t="s">
        <v>3620</v>
      </c>
    </row>
    <row r="5286" spans="35:37">
      <c r="AI5286" s="468">
        <v>47658</v>
      </c>
      <c r="AJ5286" s="5" t="s">
        <v>3579</v>
      </c>
      <c r="AK5286" s="5" t="s">
        <v>3622</v>
      </c>
    </row>
    <row r="5287" spans="35:37">
      <c r="AI5287" s="468">
        <v>47659</v>
      </c>
      <c r="AJ5287" s="5" t="s">
        <v>3624</v>
      </c>
      <c r="AK5287" s="5" t="s">
        <v>3623</v>
      </c>
    </row>
    <row r="5288" spans="35:37">
      <c r="AI5288" s="468">
        <v>47660</v>
      </c>
      <c r="AJ5288" s="5" t="s">
        <v>3626</v>
      </c>
      <c r="AK5288" s="5" t="s">
        <v>3625</v>
      </c>
    </row>
    <row r="5289" spans="35:37">
      <c r="AI5289" s="468">
        <v>47661</v>
      </c>
      <c r="AJ5289" s="5" t="s">
        <v>3628</v>
      </c>
      <c r="AK5289" s="5" t="s">
        <v>3627</v>
      </c>
    </row>
    <row r="5290" spans="35:37">
      <c r="AI5290" s="468">
        <v>47662</v>
      </c>
      <c r="AJ5290" s="5" t="s">
        <v>3617</v>
      </c>
      <c r="AK5290" s="5" t="s">
        <v>3618</v>
      </c>
    </row>
    <row r="5291" spans="35:37">
      <c r="AI5291" s="468">
        <v>47663</v>
      </c>
      <c r="AJ5291" s="5" t="s">
        <v>3619</v>
      </c>
      <c r="AK5291" s="5" t="s">
        <v>3620</v>
      </c>
    </row>
    <row r="5292" spans="35:37">
      <c r="AI5292" s="468">
        <v>47664</v>
      </c>
      <c r="AJ5292" s="5" t="s">
        <v>3621</v>
      </c>
      <c r="AK5292" s="5" t="s">
        <v>3622</v>
      </c>
    </row>
    <row r="5293" spans="35:37">
      <c r="AI5293" s="468">
        <v>47665</v>
      </c>
      <c r="AJ5293" s="5" t="s">
        <v>3579</v>
      </c>
      <c r="AK5293" s="5" t="s">
        <v>3625</v>
      </c>
    </row>
    <row r="5294" spans="35:37">
      <c r="AI5294" s="468">
        <v>47666</v>
      </c>
      <c r="AJ5294" s="5" t="s">
        <v>3624</v>
      </c>
      <c r="AK5294" s="5" t="s">
        <v>3627</v>
      </c>
    </row>
    <row r="5295" spans="35:37">
      <c r="AI5295" s="468">
        <v>47667</v>
      </c>
      <c r="AJ5295" s="5" t="s">
        <v>3626</v>
      </c>
      <c r="AK5295" s="5" t="s">
        <v>3618</v>
      </c>
    </row>
    <row r="5296" spans="35:37">
      <c r="AI5296" s="468">
        <v>47668</v>
      </c>
      <c r="AJ5296" s="5" t="s">
        <v>3628</v>
      </c>
      <c r="AK5296" s="5" t="s">
        <v>3620</v>
      </c>
    </row>
    <row r="5297" spans="35:37">
      <c r="AI5297" s="468">
        <v>47669</v>
      </c>
      <c r="AJ5297" s="5" t="s">
        <v>3617</v>
      </c>
      <c r="AK5297" s="5" t="s">
        <v>3622</v>
      </c>
    </row>
    <row r="5298" spans="35:37">
      <c r="AI5298" s="468">
        <v>47670</v>
      </c>
      <c r="AJ5298" s="5" t="s">
        <v>3619</v>
      </c>
      <c r="AK5298" s="5" t="s">
        <v>3623</v>
      </c>
    </row>
    <row r="5299" spans="35:37">
      <c r="AI5299" s="468">
        <v>47671</v>
      </c>
      <c r="AJ5299" s="5" t="s">
        <v>3621</v>
      </c>
      <c r="AK5299" s="5" t="s">
        <v>3625</v>
      </c>
    </row>
    <row r="5300" spans="35:37">
      <c r="AI5300" s="468">
        <v>47672</v>
      </c>
      <c r="AJ5300" s="5" t="s">
        <v>3579</v>
      </c>
      <c r="AK5300" s="5" t="s">
        <v>3627</v>
      </c>
    </row>
    <row r="5301" spans="35:37">
      <c r="AI5301" s="468">
        <v>47673</v>
      </c>
      <c r="AJ5301" s="5" t="s">
        <v>3624</v>
      </c>
      <c r="AK5301" s="5" t="s">
        <v>3618</v>
      </c>
    </row>
    <row r="5302" spans="35:37">
      <c r="AI5302" s="468">
        <v>47674</v>
      </c>
      <c r="AJ5302" s="5" t="s">
        <v>3626</v>
      </c>
      <c r="AK5302" s="5" t="s">
        <v>3620</v>
      </c>
    </row>
    <row r="5303" spans="35:37">
      <c r="AI5303" s="468">
        <v>47675</v>
      </c>
      <c r="AJ5303" s="5" t="s">
        <v>3628</v>
      </c>
      <c r="AK5303" s="5" t="s">
        <v>3622</v>
      </c>
    </row>
    <row r="5304" spans="35:37">
      <c r="AI5304" s="468">
        <v>47676</v>
      </c>
      <c r="AJ5304" s="5" t="s">
        <v>3617</v>
      </c>
      <c r="AK5304" s="5" t="s">
        <v>3623</v>
      </c>
    </row>
    <row r="5305" spans="35:37">
      <c r="AI5305" s="468">
        <v>47677</v>
      </c>
      <c r="AJ5305" s="5" t="s">
        <v>3619</v>
      </c>
      <c r="AK5305" s="5" t="s">
        <v>3625</v>
      </c>
    </row>
    <row r="5306" spans="35:37">
      <c r="AI5306" s="468">
        <v>47678</v>
      </c>
      <c r="AJ5306" s="5" t="s">
        <v>3621</v>
      </c>
      <c r="AK5306" s="5" t="s">
        <v>3627</v>
      </c>
    </row>
    <row r="5307" spans="35:37">
      <c r="AI5307" s="468">
        <v>47679</v>
      </c>
      <c r="AJ5307" s="5" t="s">
        <v>3579</v>
      </c>
      <c r="AK5307" s="5" t="s">
        <v>3618</v>
      </c>
    </row>
    <row r="5308" spans="35:37">
      <c r="AI5308" s="468">
        <v>47680</v>
      </c>
      <c r="AJ5308" s="5" t="s">
        <v>3624</v>
      </c>
      <c r="AK5308" s="5" t="s">
        <v>3620</v>
      </c>
    </row>
    <row r="5309" spans="35:37">
      <c r="AI5309" s="468">
        <v>47681</v>
      </c>
      <c r="AJ5309" s="5" t="s">
        <v>3626</v>
      </c>
      <c r="AK5309" s="5" t="s">
        <v>3622</v>
      </c>
    </row>
    <row r="5310" spans="35:37">
      <c r="AI5310" s="468">
        <v>47682</v>
      </c>
      <c r="AJ5310" s="5" t="s">
        <v>3628</v>
      </c>
      <c r="AK5310" s="5" t="s">
        <v>3623</v>
      </c>
    </row>
    <row r="5311" spans="35:37">
      <c r="AI5311" s="468">
        <v>47683</v>
      </c>
      <c r="AJ5311" s="5" t="s">
        <v>3617</v>
      </c>
      <c r="AK5311" s="5" t="s">
        <v>3625</v>
      </c>
    </row>
    <row r="5312" spans="35:37">
      <c r="AI5312" s="468">
        <v>47684</v>
      </c>
      <c r="AJ5312" s="5" t="s">
        <v>3619</v>
      </c>
      <c r="AK5312" s="5" t="s">
        <v>3627</v>
      </c>
    </row>
    <row r="5313" spans="35:37">
      <c r="AI5313" s="468">
        <v>47685</v>
      </c>
      <c r="AJ5313" s="5" t="s">
        <v>3621</v>
      </c>
      <c r="AK5313" s="5" t="s">
        <v>3618</v>
      </c>
    </row>
    <row r="5314" spans="35:37">
      <c r="AI5314" s="468">
        <v>47686</v>
      </c>
      <c r="AJ5314" s="5" t="s">
        <v>3579</v>
      </c>
      <c r="AK5314" s="5" t="s">
        <v>3620</v>
      </c>
    </row>
    <row r="5315" spans="35:37">
      <c r="AI5315" s="468">
        <v>47687</v>
      </c>
      <c r="AJ5315" s="5" t="s">
        <v>3624</v>
      </c>
      <c r="AK5315" s="5" t="s">
        <v>3622</v>
      </c>
    </row>
    <row r="5316" spans="35:37">
      <c r="AI5316" s="468">
        <v>47688</v>
      </c>
      <c r="AJ5316" s="5" t="s">
        <v>3626</v>
      </c>
      <c r="AK5316" s="5" t="s">
        <v>3623</v>
      </c>
    </row>
    <row r="5317" spans="35:37">
      <c r="AI5317" s="468">
        <v>47689</v>
      </c>
      <c r="AJ5317" s="5" t="s">
        <v>3628</v>
      </c>
      <c r="AK5317" s="5" t="s">
        <v>3625</v>
      </c>
    </row>
    <row r="5318" spans="35:37">
      <c r="AI5318" s="468">
        <v>47690</v>
      </c>
      <c r="AJ5318" s="5" t="s">
        <v>3617</v>
      </c>
      <c r="AK5318" s="5" t="s">
        <v>3627</v>
      </c>
    </row>
    <row r="5319" spans="35:37">
      <c r="AI5319" s="468">
        <v>47691</v>
      </c>
      <c r="AJ5319" s="5" t="s">
        <v>3619</v>
      </c>
      <c r="AK5319" s="5" t="s">
        <v>3618</v>
      </c>
    </row>
    <row r="5320" spans="35:37">
      <c r="AI5320" s="468">
        <v>47692</v>
      </c>
      <c r="AJ5320" s="5" t="s">
        <v>3621</v>
      </c>
      <c r="AK5320" s="5" t="s">
        <v>3620</v>
      </c>
    </row>
    <row r="5321" spans="35:37">
      <c r="AI5321" s="468">
        <v>47693</v>
      </c>
      <c r="AJ5321" s="5" t="s">
        <v>3579</v>
      </c>
      <c r="AK5321" s="5" t="s">
        <v>3622</v>
      </c>
    </row>
    <row r="5322" spans="35:37">
      <c r="AI5322" s="468">
        <v>47694</v>
      </c>
      <c r="AJ5322" s="5" t="s">
        <v>3624</v>
      </c>
      <c r="AK5322" s="5" t="s">
        <v>3627</v>
      </c>
    </row>
    <row r="5323" spans="35:37">
      <c r="AI5323" s="468">
        <v>47695</v>
      </c>
      <c r="AJ5323" s="5" t="s">
        <v>3626</v>
      </c>
      <c r="AK5323" s="5" t="s">
        <v>3618</v>
      </c>
    </row>
    <row r="5324" spans="35:37">
      <c r="AI5324" s="468">
        <v>47696</v>
      </c>
      <c r="AJ5324" s="5" t="s">
        <v>3628</v>
      </c>
      <c r="AK5324" s="5" t="s">
        <v>3620</v>
      </c>
    </row>
    <row r="5325" spans="35:37">
      <c r="AI5325" s="468">
        <v>47697</v>
      </c>
      <c r="AJ5325" s="5" t="s">
        <v>3617</v>
      </c>
      <c r="AK5325" s="5" t="s">
        <v>3622</v>
      </c>
    </row>
    <row r="5326" spans="35:37">
      <c r="AI5326" s="468">
        <v>47698</v>
      </c>
      <c r="AJ5326" s="5" t="s">
        <v>3619</v>
      </c>
      <c r="AK5326" s="5" t="s">
        <v>3623</v>
      </c>
    </row>
    <row r="5327" spans="35:37">
      <c r="AI5327" s="468">
        <v>47699</v>
      </c>
      <c r="AJ5327" s="5" t="s">
        <v>3621</v>
      </c>
      <c r="AK5327" s="5" t="s">
        <v>3625</v>
      </c>
    </row>
    <row r="5328" spans="35:37">
      <c r="AI5328" s="468">
        <v>47700</v>
      </c>
      <c r="AJ5328" s="5" t="s">
        <v>3579</v>
      </c>
      <c r="AK5328" s="5" t="s">
        <v>3627</v>
      </c>
    </row>
    <row r="5329" spans="35:37">
      <c r="AI5329" s="468">
        <v>47701</v>
      </c>
      <c r="AJ5329" s="5" t="s">
        <v>3624</v>
      </c>
      <c r="AK5329" s="5" t="s">
        <v>3618</v>
      </c>
    </row>
    <row r="5330" spans="35:37">
      <c r="AI5330" s="468">
        <v>47702</v>
      </c>
      <c r="AJ5330" s="5" t="s">
        <v>3626</v>
      </c>
      <c r="AK5330" s="5" t="s">
        <v>3620</v>
      </c>
    </row>
    <row r="5331" spans="35:37">
      <c r="AI5331" s="468">
        <v>47703</v>
      </c>
      <c r="AJ5331" s="5" t="s">
        <v>3628</v>
      </c>
      <c r="AK5331" s="5" t="s">
        <v>3622</v>
      </c>
    </row>
    <row r="5332" spans="35:37">
      <c r="AI5332" s="468">
        <v>47704</v>
      </c>
      <c r="AJ5332" s="5" t="s">
        <v>3617</v>
      </c>
      <c r="AK5332" s="5" t="s">
        <v>3623</v>
      </c>
    </row>
    <row r="5333" spans="35:37">
      <c r="AI5333" s="468">
        <v>47705</v>
      </c>
      <c r="AJ5333" s="5" t="s">
        <v>3619</v>
      </c>
      <c r="AK5333" s="5" t="s">
        <v>3625</v>
      </c>
    </row>
    <row r="5334" spans="35:37">
      <c r="AI5334" s="468">
        <v>47706</v>
      </c>
      <c r="AJ5334" s="5" t="s">
        <v>3621</v>
      </c>
      <c r="AK5334" s="5" t="s">
        <v>3627</v>
      </c>
    </row>
    <row r="5335" spans="35:37">
      <c r="AI5335" s="468">
        <v>47707</v>
      </c>
      <c r="AJ5335" s="5" t="s">
        <v>3579</v>
      </c>
      <c r="AK5335" s="5" t="s">
        <v>3618</v>
      </c>
    </row>
    <row r="5336" spans="35:37">
      <c r="AI5336" s="468">
        <v>47708</v>
      </c>
      <c r="AJ5336" s="5" t="s">
        <v>3624</v>
      </c>
      <c r="AK5336" s="5" t="s">
        <v>3620</v>
      </c>
    </row>
    <row r="5337" spans="35:37">
      <c r="AI5337" s="468">
        <v>47709</v>
      </c>
      <c r="AJ5337" s="5" t="s">
        <v>3626</v>
      </c>
      <c r="AK5337" s="5" t="s">
        <v>3622</v>
      </c>
    </row>
    <row r="5338" spans="35:37">
      <c r="AI5338" s="468">
        <v>47710</v>
      </c>
      <c r="AJ5338" s="5" t="s">
        <v>3628</v>
      </c>
      <c r="AK5338" s="5" t="s">
        <v>3623</v>
      </c>
    </row>
    <row r="5339" spans="35:37">
      <c r="AI5339" s="468">
        <v>47711</v>
      </c>
      <c r="AJ5339" s="5" t="s">
        <v>3617</v>
      </c>
      <c r="AK5339" s="5" t="s">
        <v>3625</v>
      </c>
    </row>
    <row r="5340" spans="35:37">
      <c r="AI5340" s="468">
        <v>47712</v>
      </c>
      <c r="AJ5340" s="5" t="s">
        <v>3619</v>
      </c>
      <c r="AK5340" s="5" t="s">
        <v>3627</v>
      </c>
    </row>
    <row r="5341" spans="35:37">
      <c r="AI5341" s="468">
        <v>47713</v>
      </c>
      <c r="AJ5341" s="5" t="s">
        <v>3621</v>
      </c>
      <c r="AK5341" s="5" t="s">
        <v>3618</v>
      </c>
    </row>
    <row r="5342" spans="35:37">
      <c r="AI5342" s="468">
        <v>47714</v>
      </c>
      <c r="AJ5342" s="5" t="s">
        <v>3579</v>
      </c>
      <c r="AK5342" s="5" t="s">
        <v>3620</v>
      </c>
    </row>
    <row r="5343" spans="35:37">
      <c r="AI5343" s="468">
        <v>47715</v>
      </c>
      <c r="AJ5343" s="5" t="s">
        <v>3624</v>
      </c>
      <c r="AK5343" s="5" t="s">
        <v>3622</v>
      </c>
    </row>
    <row r="5344" spans="35:37">
      <c r="AI5344" s="468">
        <v>47716</v>
      </c>
      <c r="AJ5344" s="5" t="s">
        <v>3626</v>
      </c>
      <c r="AK5344" s="5" t="s">
        <v>3623</v>
      </c>
    </row>
    <row r="5345" spans="35:37">
      <c r="AI5345" s="468">
        <v>47717</v>
      </c>
      <c r="AJ5345" s="5" t="s">
        <v>3628</v>
      </c>
      <c r="AK5345" s="5" t="s">
        <v>3625</v>
      </c>
    </row>
    <row r="5346" spans="35:37">
      <c r="AI5346" s="468">
        <v>47718</v>
      </c>
      <c r="AJ5346" s="5" t="s">
        <v>3617</v>
      </c>
      <c r="AK5346" s="5" t="s">
        <v>3627</v>
      </c>
    </row>
    <row r="5347" spans="35:37">
      <c r="AI5347" s="468">
        <v>47719</v>
      </c>
      <c r="AJ5347" s="5" t="s">
        <v>3619</v>
      </c>
      <c r="AK5347" s="5" t="s">
        <v>3618</v>
      </c>
    </row>
    <row r="5348" spans="35:37">
      <c r="AI5348" s="468">
        <v>47720</v>
      </c>
      <c r="AJ5348" s="5" t="s">
        <v>3621</v>
      </c>
      <c r="AK5348" s="5" t="s">
        <v>3620</v>
      </c>
    </row>
    <row r="5349" spans="35:37">
      <c r="AI5349" s="468">
        <v>47721</v>
      </c>
      <c r="AJ5349" s="5" t="s">
        <v>3579</v>
      </c>
      <c r="AK5349" s="5" t="s">
        <v>3622</v>
      </c>
    </row>
    <row r="5350" spans="35:37">
      <c r="AI5350" s="468">
        <v>47722</v>
      </c>
      <c r="AJ5350" s="5" t="s">
        <v>3624</v>
      </c>
      <c r="AK5350" s="5" t="s">
        <v>3623</v>
      </c>
    </row>
    <row r="5351" spans="35:37">
      <c r="AI5351" s="468">
        <v>47723</v>
      </c>
      <c r="AJ5351" s="5" t="s">
        <v>3626</v>
      </c>
      <c r="AK5351" s="5" t="s">
        <v>3625</v>
      </c>
    </row>
    <row r="5352" spans="35:37">
      <c r="AI5352" s="468">
        <v>47724</v>
      </c>
      <c r="AJ5352" s="5" t="s">
        <v>3628</v>
      </c>
      <c r="AK5352" s="5" t="s">
        <v>3618</v>
      </c>
    </row>
    <row r="5353" spans="35:37">
      <c r="AI5353" s="468">
        <v>47725</v>
      </c>
      <c r="AJ5353" s="5" t="s">
        <v>3617</v>
      </c>
      <c r="AK5353" s="5" t="s">
        <v>3620</v>
      </c>
    </row>
    <row r="5354" spans="35:37">
      <c r="AI5354" s="468">
        <v>47726</v>
      </c>
      <c r="AJ5354" s="5" t="s">
        <v>3619</v>
      </c>
      <c r="AK5354" s="5" t="s">
        <v>3622</v>
      </c>
    </row>
    <row r="5355" spans="35:37">
      <c r="AI5355" s="468">
        <v>47727</v>
      </c>
      <c r="AJ5355" s="5" t="s">
        <v>3621</v>
      </c>
      <c r="AK5355" s="5" t="s">
        <v>3623</v>
      </c>
    </row>
    <row r="5356" spans="35:37">
      <c r="AI5356" s="468">
        <v>47728</v>
      </c>
      <c r="AJ5356" s="5" t="s">
        <v>3579</v>
      </c>
      <c r="AK5356" s="5" t="s">
        <v>3625</v>
      </c>
    </row>
    <row r="5357" spans="35:37">
      <c r="AI5357" s="468">
        <v>47729</v>
      </c>
      <c r="AJ5357" s="5" t="s">
        <v>3624</v>
      </c>
      <c r="AK5357" s="5" t="s">
        <v>3627</v>
      </c>
    </row>
    <row r="5358" spans="35:37">
      <c r="AI5358" s="468">
        <v>47730</v>
      </c>
      <c r="AJ5358" s="5" t="s">
        <v>3626</v>
      </c>
      <c r="AK5358" s="5" t="s">
        <v>3618</v>
      </c>
    </row>
    <row r="5359" spans="35:37">
      <c r="AI5359" s="468">
        <v>47731</v>
      </c>
      <c r="AJ5359" s="5" t="s">
        <v>3628</v>
      </c>
      <c r="AK5359" s="5" t="s">
        <v>3620</v>
      </c>
    </row>
    <row r="5360" spans="35:37">
      <c r="AI5360" s="468">
        <v>47732</v>
      </c>
      <c r="AJ5360" s="5" t="s">
        <v>3617</v>
      </c>
      <c r="AK5360" s="5" t="s">
        <v>3622</v>
      </c>
    </row>
    <row r="5361" spans="35:37">
      <c r="AI5361" s="468">
        <v>47733</v>
      </c>
      <c r="AJ5361" s="5" t="s">
        <v>3619</v>
      </c>
      <c r="AK5361" s="5" t="s">
        <v>3623</v>
      </c>
    </row>
    <row r="5362" spans="35:37">
      <c r="AI5362" s="468">
        <v>47734</v>
      </c>
      <c r="AJ5362" s="5" t="s">
        <v>3621</v>
      </c>
      <c r="AK5362" s="5" t="s">
        <v>3625</v>
      </c>
    </row>
    <row r="5363" spans="35:37">
      <c r="AI5363" s="468">
        <v>47735</v>
      </c>
      <c r="AJ5363" s="5" t="s">
        <v>3579</v>
      </c>
      <c r="AK5363" s="5" t="s">
        <v>3627</v>
      </c>
    </row>
    <row r="5364" spans="35:37">
      <c r="AI5364" s="468">
        <v>47736</v>
      </c>
      <c r="AJ5364" s="5" t="s">
        <v>3624</v>
      </c>
      <c r="AK5364" s="5" t="s">
        <v>3618</v>
      </c>
    </row>
    <row r="5365" spans="35:37">
      <c r="AI5365" s="468">
        <v>47737</v>
      </c>
      <c r="AJ5365" s="5" t="s">
        <v>3626</v>
      </c>
      <c r="AK5365" s="5" t="s">
        <v>3620</v>
      </c>
    </row>
    <row r="5366" spans="35:37">
      <c r="AI5366" s="468">
        <v>47738</v>
      </c>
      <c r="AJ5366" s="5" t="s">
        <v>3628</v>
      </c>
      <c r="AK5366" s="5" t="s">
        <v>3622</v>
      </c>
    </row>
    <row r="5367" spans="35:37">
      <c r="AI5367" s="468">
        <v>47739</v>
      </c>
      <c r="AJ5367" s="5" t="s">
        <v>3617</v>
      </c>
      <c r="AK5367" s="5" t="s">
        <v>3623</v>
      </c>
    </row>
    <row r="5368" spans="35:37">
      <c r="AI5368" s="468">
        <v>47740</v>
      </c>
      <c r="AJ5368" s="5" t="s">
        <v>3619</v>
      </c>
      <c r="AK5368" s="5" t="s">
        <v>3625</v>
      </c>
    </row>
    <row r="5369" spans="35:37">
      <c r="AI5369" s="468">
        <v>47741</v>
      </c>
      <c r="AJ5369" s="5" t="s">
        <v>3621</v>
      </c>
      <c r="AK5369" s="5" t="s">
        <v>3627</v>
      </c>
    </row>
    <row r="5370" spans="35:37">
      <c r="AI5370" s="468">
        <v>47742</v>
      </c>
      <c r="AJ5370" s="5" t="s">
        <v>3579</v>
      </c>
      <c r="AK5370" s="5" t="s">
        <v>3618</v>
      </c>
    </row>
    <row r="5371" spans="35:37">
      <c r="AI5371" s="468">
        <v>47743</v>
      </c>
      <c r="AJ5371" s="5" t="s">
        <v>3624</v>
      </c>
      <c r="AK5371" s="5" t="s">
        <v>3620</v>
      </c>
    </row>
    <row r="5372" spans="35:37">
      <c r="AI5372" s="468">
        <v>47744</v>
      </c>
      <c r="AJ5372" s="5" t="s">
        <v>3626</v>
      </c>
      <c r="AK5372" s="5" t="s">
        <v>3622</v>
      </c>
    </row>
    <row r="5373" spans="35:37">
      <c r="AI5373" s="468">
        <v>47745</v>
      </c>
      <c r="AJ5373" s="5" t="s">
        <v>3628</v>
      </c>
      <c r="AK5373" s="5" t="s">
        <v>3623</v>
      </c>
    </row>
    <row r="5374" spans="35:37">
      <c r="AI5374" s="468">
        <v>47746</v>
      </c>
      <c r="AJ5374" s="5" t="s">
        <v>3617</v>
      </c>
      <c r="AK5374" s="5" t="s">
        <v>3625</v>
      </c>
    </row>
    <row r="5375" spans="35:37">
      <c r="AI5375" s="468">
        <v>47747</v>
      </c>
      <c r="AJ5375" s="5" t="s">
        <v>3619</v>
      </c>
      <c r="AK5375" s="5" t="s">
        <v>3627</v>
      </c>
    </row>
    <row r="5376" spans="35:37">
      <c r="AI5376" s="468">
        <v>47748</v>
      </c>
      <c r="AJ5376" s="5" t="s">
        <v>3621</v>
      </c>
      <c r="AK5376" s="5" t="s">
        <v>3618</v>
      </c>
    </row>
    <row r="5377" spans="35:37">
      <c r="AI5377" s="468">
        <v>47749</v>
      </c>
      <c r="AJ5377" s="5" t="s">
        <v>3579</v>
      </c>
      <c r="AK5377" s="5" t="s">
        <v>3620</v>
      </c>
    </row>
    <row r="5378" spans="35:37">
      <c r="AI5378" s="468">
        <v>47750</v>
      </c>
      <c r="AJ5378" s="5" t="s">
        <v>3624</v>
      </c>
      <c r="AK5378" s="5" t="s">
        <v>3622</v>
      </c>
    </row>
    <row r="5379" spans="35:37">
      <c r="AI5379" s="468">
        <v>47751</v>
      </c>
      <c r="AJ5379" s="5" t="s">
        <v>3626</v>
      </c>
      <c r="AK5379" s="5" t="s">
        <v>3623</v>
      </c>
    </row>
    <row r="5380" spans="35:37">
      <c r="AI5380" s="468">
        <v>47752</v>
      </c>
      <c r="AJ5380" s="5" t="s">
        <v>3628</v>
      </c>
      <c r="AK5380" s="5" t="s">
        <v>3625</v>
      </c>
    </row>
    <row r="5381" spans="35:37">
      <c r="AI5381" s="468">
        <v>47753</v>
      </c>
      <c r="AJ5381" s="5" t="s">
        <v>3617</v>
      </c>
      <c r="AK5381" s="5" t="s">
        <v>3620</v>
      </c>
    </row>
    <row r="5382" spans="35:37">
      <c r="AI5382" s="468">
        <v>47754</v>
      </c>
      <c r="AJ5382" s="5" t="s">
        <v>3619</v>
      </c>
      <c r="AK5382" s="5" t="s">
        <v>3622</v>
      </c>
    </row>
    <row r="5383" spans="35:37">
      <c r="AI5383" s="468">
        <v>47755</v>
      </c>
      <c r="AJ5383" s="5" t="s">
        <v>3621</v>
      </c>
      <c r="AK5383" s="5" t="s">
        <v>3623</v>
      </c>
    </row>
    <row r="5384" spans="35:37">
      <c r="AI5384" s="468">
        <v>47756</v>
      </c>
      <c r="AJ5384" s="5" t="s">
        <v>3579</v>
      </c>
      <c r="AK5384" s="5" t="s">
        <v>3625</v>
      </c>
    </row>
    <row r="5385" spans="35:37">
      <c r="AI5385" s="468">
        <v>47757</v>
      </c>
      <c r="AJ5385" s="5" t="s">
        <v>3624</v>
      </c>
      <c r="AK5385" s="5" t="s">
        <v>3627</v>
      </c>
    </row>
    <row r="5386" spans="35:37">
      <c r="AI5386" s="468">
        <v>47758</v>
      </c>
      <c r="AJ5386" s="5" t="s">
        <v>3626</v>
      </c>
      <c r="AK5386" s="5" t="s">
        <v>3618</v>
      </c>
    </row>
    <row r="5387" spans="35:37">
      <c r="AI5387" s="468">
        <v>47759</v>
      </c>
      <c r="AJ5387" s="5" t="s">
        <v>3628</v>
      </c>
      <c r="AK5387" s="5" t="s">
        <v>3620</v>
      </c>
    </row>
    <row r="5388" spans="35:37">
      <c r="AI5388" s="468">
        <v>47760</v>
      </c>
      <c r="AJ5388" s="5" t="s">
        <v>3617</v>
      </c>
      <c r="AK5388" s="5" t="s">
        <v>3622</v>
      </c>
    </row>
    <row r="5389" spans="35:37">
      <c r="AI5389" s="468">
        <v>47761</v>
      </c>
      <c r="AJ5389" s="5" t="s">
        <v>3619</v>
      </c>
      <c r="AK5389" s="5" t="s">
        <v>3623</v>
      </c>
    </row>
    <row r="5390" spans="35:37">
      <c r="AI5390" s="468">
        <v>47762</v>
      </c>
      <c r="AJ5390" s="5" t="s">
        <v>3621</v>
      </c>
      <c r="AK5390" s="5" t="s">
        <v>3625</v>
      </c>
    </row>
    <row r="5391" spans="35:37">
      <c r="AI5391" s="468">
        <v>47763</v>
      </c>
      <c r="AJ5391" s="5" t="s">
        <v>3579</v>
      </c>
      <c r="AK5391" s="5" t="s">
        <v>3627</v>
      </c>
    </row>
    <row r="5392" spans="35:37">
      <c r="AI5392" s="468">
        <v>47764</v>
      </c>
      <c r="AJ5392" s="5" t="s">
        <v>3624</v>
      </c>
      <c r="AK5392" s="5" t="s">
        <v>3618</v>
      </c>
    </row>
    <row r="5393" spans="35:37">
      <c r="AI5393" s="468">
        <v>47765</v>
      </c>
      <c r="AJ5393" s="5" t="s">
        <v>3626</v>
      </c>
      <c r="AK5393" s="5" t="s">
        <v>3620</v>
      </c>
    </row>
    <row r="5394" spans="35:37">
      <c r="AI5394" s="468">
        <v>47766</v>
      </c>
      <c r="AJ5394" s="5" t="s">
        <v>3628</v>
      </c>
      <c r="AK5394" s="5" t="s">
        <v>3622</v>
      </c>
    </row>
    <row r="5395" spans="35:37">
      <c r="AI5395" s="468">
        <v>47767</v>
      </c>
      <c r="AJ5395" s="5" t="s">
        <v>3617</v>
      </c>
      <c r="AK5395" s="5" t="s">
        <v>3623</v>
      </c>
    </row>
    <row r="5396" spans="35:37">
      <c r="AI5396" s="468">
        <v>47768</v>
      </c>
      <c r="AJ5396" s="5" t="s">
        <v>3619</v>
      </c>
      <c r="AK5396" s="5" t="s">
        <v>3625</v>
      </c>
    </row>
    <row r="5397" spans="35:37">
      <c r="AI5397" s="468">
        <v>47769</v>
      </c>
      <c r="AJ5397" s="5" t="s">
        <v>3621</v>
      </c>
      <c r="AK5397" s="5" t="s">
        <v>3627</v>
      </c>
    </row>
    <row r="5398" spans="35:37">
      <c r="AI5398" s="468">
        <v>47770</v>
      </c>
      <c r="AJ5398" s="5" t="s">
        <v>3579</v>
      </c>
      <c r="AK5398" s="5" t="s">
        <v>3618</v>
      </c>
    </row>
    <row r="5399" spans="35:37">
      <c r="AI5399" s="468">
        <v>47771</v>
      </c>
      <c r="AJ5399" s="5" t="s">
        <v>3624</v>
      </c>
      <c r="AK5399" s="5" t="s">
        <v>3620</v>
      </c>
    </row>
    <row r="5400" spans="35:37">
      <c r="AI5400" s="468">
        <v>47772</v>
      </c>
      <c r="AJ5400" s="5" t="s">
        <v>3626</v>
      </c>
      <c r="AK5400" s="5" t="s">
        <v>3622</v>
      </c>
    </row>
    <row r="5401" spans="35:37">
      <c r="AI5401" s="468">
        <v>47773</v>
      </c>
      <c r="AJ5401" s="5" t="s">
        <v>3628</v>
      </c>
      <c r="AK5401" s="5" t="s">
        <v>3623</v>
      </c>
    </row>
    <row r="5402" spans="35:37">
      <c r="AI5402" s="468">
        <v>47774</v>
      </c>
      <c r="AJ5402" s="5" t="s">
        <v>3617</v>
      </c>
      <c r="AK5402" s="5" t="s">
        <v>3625</v>
      </c>
    </row>
    <row r="5403" spans="35:37">
      <c r="AI5403" s="468">
        <v>47775</v>
      </c>
      <c r="AJ5403" s="5" t="s">
        <v>3619</v>
      </c>
      <c r="AK5403" s="5" t="s">
        <v>3627</v>
      </c>
    </row>
    <row r="5404" spans="35:37">
      <c r="AI5404" s="468">
        <v>47776</v>
      </c>
      <c r="AJ5404" s="5" t="s">
        <v>3621</v>
      </c>
      <c r="AK5404" s="5" t="s">
        <v>3618</v>
      </c>
    </row>
    <row r="5405" spans="35:37">
      <c r="AI5405" s="468">
        <v>47777</v>
      </c>
      <c r="AJ5405" s="5" t="s">
        <v>3579</v>
      </c>
      <c r="AK5405" s="5" t="s">
        <v>3620</v>
      </c>
    </row>
    <row r="5406" spans="35:37">
      <c r="AI5406" s="468">
        <v>47778</v>
      </c>
      <c r="AJ5406" s="5" t="s">
        <v>3624</v>
      </c>
      <c r="AK5406" s="5" t="s">
        <v>3622</v>
      </c>
    </row>
    <row r="5407" spans="35:37">
      <c r="AI5407" s="468">
        <v>47779</v>
      </c>
      <c r="AJ5407" s="5" t="s">
        <v>3626</v>
      </c>
      <c r="AK5407" s="5" t="s">
        <v>3623</v>
      </c>
    </row>
    <row r="5408" spans="35:37">
      <c r="AI5408" s="468">
        <v>47780</v>
      </c>
      <c r="AJ5408" s="5" t="s">
        <v>3628</v>
      </c>
      <c r="AK5408" s="5" t="s">
        <v>3625</v>
      </c>
    </row>
    <row r="5409" spans="35:37">
      <c r="AI5409" s="468">
        <v>47781</v>
      </c>
      <c r="AJ5409" s="5" t="s">
        <v>3617</v>
      </c>
      <c r="AK5409" s="5" t="s">
        <v>3627</v>
      </c>
    </row>
    <row r="5410" spans="35:37">
      <c r="AI5410" s="468">
        <v>47782</v>
      </c>
      <c r="AJ5410" s="5" t="s">
        <v>3619</v>
      </c>
      <c r="AK5410" s="5" t="s">
        <v>3618</v>
      </c>
    </row>
    <row r="5411" spans="35:37">
      <c r="AI5411" s="468">
        <v>47783</v>
      </c>
      <c r="AJ5411" s="5" t="s">
        <v>3621</v>
      </c>
      <c r="AK5411" s="5" t="s">
        <v>3622</v>
      </c>
    </row>
    <row r="5412" spans="35:37">
      <c r="AI5412" s="468">
        <v>47784</v>
      </c>
      <c r="AJ5412" s="5" t="s">
        <v>3579</v>
      </c>
      <c r="AK5412" s="5" t="s">
        <v>3623</v>
      </c>
    </row>
    <row r="5413" spans="35:37">
      <c r="AI5413" s="468">
        <v>47785</v>
      </c>
      <c r="AJ5413" s="5" t="s">
        <v>3624</v>
      </c>
      <c r="AK5413" s="5" t="s">
        <v>3625</v>
      </c>
    </row>
    <row r="5414" spans="35:37">
      <c r="AI5414" s="468">
        <v>47786</v>
      </c>
      <c r="AJ5414" s="5" t="s">
        <v>3626</v>
      </c>
      <c r="AK5414" s="5" t="s">
        <v>3627</v>
      </c>
    </row>
    <row r="5415" spans="35:37">
      <c r="AI5415" s="468">
        <v>47787</v>
      </c>
      <c r="AJ5415" s="5" t="s">
        <v>3628</v>
      </c>
      <c r="AK5415" s="5" t="s">
        <v>3618</v>
      </c>
    </row>
    <row r="5416" spans="35:37">
      <c r="AI5416" s="468">
        <v>47788</v>
      </c>
      <c r="AJ5416" s="5" t="s">
        <v>3617</v>
      </c>
      <c r="AK5416" s="5" t="s">
        <v>3620</v>
      </c>
    </row>
    <row r="5417" spans="35:37">
      <c r="AI5417" s="468">
        <v>47789</v>
      </c>
      <c r="AJ5417" s="5" t="s">
        <v>3619</v>
      </c>
      <c r="AK5417" s="5" t="s">
        <v>3622</v>
      </c>
    </row>
    <row r="5418" spans="35:37">
      <c r="AI5418" s="468">
        <v>47790</v>
      </c>
      <c r="AJ5418" s="5" t="s">
        <v>3621</v>
      </c>
      <c r="AK5418" s="5" t="s">
        <v>3623</v>
      </c>
    </row>
    <row r="5419" spans="35:37">
      <c r="AI5419" s="468">
        <v>47791</v>
      </c>
      <c r="AJ5419" s="5" t="s">
        <v>3579</v>
      </c>
      <c r="AK5419" s="5" t="s">
        <v>3625</v>
      </c>
    </row>
    <row r="5420" spans="35:37">
      <c r="AI5420" s="468">
        <v>47792</v>
      </c>
      <c r="AJ5420" s="5" t="s">
        <v>3624</v>
      </c>
      <c r="AK5420" s="5" t="s">
        <v>3627</v>
      </c>
    </row>
    <row r="5421" spans="35:37">
      <c r="AI5421" s="468">
        <v>47793</v>
      </c>
      <c r="AJ5421" s="5" t="s">
        <v>3626</v>
      </c>
      <c r="AK5421" s="5" t="s">
        <v>3618</v>
      </c>
    </row>
    <row r="5422" spans="35:37">
      <c r="AI5422" s="468">
        <v>47794</v>
      </c>
      <c r="AJ5422" s="5" t="s">
        <v>3628</v>
      </c>
      <c r="AK5422" s="5" t="s">
        <v>3620</v>
      </c>
    </row>
    <row r="5423" spans="35:37">
      <c r="AI5423" s="468">
        <v>47795</v>
      </c>
      <c r="AJ5423" s="5" t="s">
        <v>3617</v>
      </c>
      <c r="AK5423" s="5" t="s">
        <v>3622</v>
      </c>
    </row>
    <row r="5424" spans="35:37">
      <c r="AI5424" s="468">
        <v>47796</v>
      </c>
      <c r="AJ5424" s="5" t="s">
        <v>3619</v>
      </c>
      <c r="AK5424" s="5" t="s">
        <v>3623</v>
      </c>
    </row>
    <row r="5425" spans="35:37">
      <c r="AI5425" s="468">
        <v>47797</v>
      </c>
      <c r="AJ5425" s="5" t="s">
        <v>3621</v>
      </c>
      <c r="AK5425" s="5" t="s">
        <v>3625</v>
      </c>
    </row>
    <row r="5426" spans="35:37">
      <c r="AI5426" s="468">
        <v>47798</v>
      </c>
      <c r="AJ5426" s="5" t="s">
        <v>3579</v>
      </c>
      <c r="AK5426" s="5" t="s">
        <v>3627</v>
      </c>
    </row>
    <row r="5427" spans="35:37">
      <c r="AI5427" s="468">
        <v>47799</v>
      </c>
      <c r="AJ5427" s="5" t="s">
        <v>3624</v>
      </c>
      <c r="AK5427" s="5" t="s">
        <v>3618</v>
      </c>
    </row>
    <row r="5428" spans="35:37">
      <c r="AI5428" s="468">
        <v>47800</v>
      </c>
      <c r="AJ5428" s="5" t="s">
        <v>3626</v>
      </c>
      <c r="AK5428" s="5" t="s">
        <v>3620</v>
      </c>
    </row>
    <row r="5429" spans="35:37">
      <c r="AI5429" s="468">
        <v>47801</v>
      </c>
      <c r="AJ5429" s="5" t="s">
        <v>3628</v>
      </c>
      <c r="AK5429" s="5" t="s">
        <v>3622</v>
      </c>
    </row>
    <row r="5430" spans="35:37">
      <c r="AI5430" s="468">
        <v>47802</v>
      </c>
      <c r="AJ5430" s="5" t="s">
        <v>3617</v>
      </c>
      <c r="AK5430" s="5" t="s">
        <v>3623</v>
      </c>
    </row>
    <row r="5431" spans="35:37">
      <c r="AI5431" s="468">
        <v>47803</v>
      </c>
      <c r="AJ5431" s="5" t="s">
        <v>3619</v>
      </c>
      <c r="AK5431" s="5" t="s">
        <v>3625</v>
      </c>
    </row>
    <row r="5432" spans="35:37">
      <c r="AI5432" s="468">
        <v>47804</v>
      </c>
      <c r="AJ5432" s="5" t="s">
        <v>3621</v>
      </c>
      <c r="AK5432" s="5" t="s">
        <v>3627</v>
      </c>
    </row>
    <row r="5433" spans="35:37">
      <c r="AI5433" s="468">
        <v>47805</v>
      </c>
      <c r="AJ5433" s="5" t="s">
        <v>3579</v>
      </c>
      <c r="AK5433" s="5" t="s">
        <v>3618</v>
      </c>
    </row>
    <row r="5434" spans="35:37">
      <c r="AI5434" s="468">
        <v>47806</v>
      </c>
      <c r="AJ5434" s="5" t="s">
        <v>3624</v>
      </c>
      <c r="AK5434" s="5" t="s">
        <v>3620</v>
      </c>
    </row>
    <row r="5435" spans="35:37">
      <c r="AI5435" s="468">
        <v>47807</v>
      </c>
      <c r="AJ5435" s="5" t="s">
        <v>3626</v>
      </c>
      <c r="AK5435" s="5" t="s">
        <v>3622</v>
      </c>
    </row>
    <row r="5436" spans="35:37">
      <c r="AI5436" s="468">
        <v>47808</v>
      </c>
      <c r="AJ5436" s="5" t="s">
        <v>3628</v>
      </c>
      <c r="AK5436" s="5" t="s">
        <v>3623</v>
      </c>
    </row>
    <row r="5437" spans="35:37">
      <c r="AI5437" s="468">
        <v>47809</v>
      </c>
      <c r="AJ5437" s="5" t="s">
        <v>3617</v>
      </c>
      <c r="AK5437" s="5" t="s">
        <v>3625</v>
      </c>
    </row>
    <row r="5438" spans="35:37">
      <c r="AI5438" s="468">
        <v>47810</v>
      </c>
      <c r="AJ5438" s="5" t="s">
        <v>3619</v>
      </c>
      <c r="AK5438" s="5" t="s">
        <v>3627</v>
      </c>
    </row>
    <row r="5439" spans="35:37">
      <c r="AI5439" s="468">
        <v>47811</v>
      </c>
      <c r="AJ5439" s="5" t="s">
        <v>3621</v>
      </c>
      <c r="AK5439" s="5" t="s">
        <v>3618</v>
      </c>
    </row>
    <row r="5440" spans="35:37">
      <c r="AI5440" s="468">
        <v>47812</v>
      </c>
      <c r="AJ5440" s="5" t="s">
        <v>3579</v>
      </c>
      <c r="AK5440" s="5" t="s">
        <v>3623</v>
      </c>
    </row>
    <row r="5441" spans="35:37">
      <c r="AI5441" s="468">
        <v>47813</v>
      </c>
      <c r="AJ5441" s="5" t="s">
        <v>3624</v>
      </c>
      <c r="AK5441" s="5" t="s">
        <v>3625</v>
      </c>
    </row>
    <row r="5442" spans="35:37">
      <c r="AI5442" s="468">
        <v>47814</v>
      </c>
      <c r="AJ5442" s="5" t="s">
        <v>3626</v>
      </c>
      <c r="AK5442" s="5" t="s">
        <v>3627</v>
      </c>
    </row>
    <row r="5443" spans="35:37">
      <c r="AI5443" s="468">
        <v>47815</v>
      </c>
      <c r="AJ5443" s="5" t="s">
        <v>3628</v>
      </c>
      <c r="AK5443" s="5" t="s">
        <v>3618</v>
      </c>
    </row>
    <row r="5444" spans="35:37">
      <c r="AI5444" s="468">
        <v>47816</v>
      </c>
      <c r="AJ5444" s="5" t="s">
        <v>3617</v>
      </c>
      <c r="AK5444" s="5" t="s">
        <v>3620</v>
      </c>
    </row>
    <row r="5445" spans="35:37">
      <c r="AI5445" s="468">
        <v>47817</v>
      </c>
      <c r="AJ5445" s="5" t="s">
        <v>3619</v>
      </c>
      <c r="AK5445" s="5" t="s">
        <v>3622</v>
      </c>
    </row>
    <row r="5446" spans="35:37">
      <c r="AI5446" s="468">
        <v>47818</v>
      </c>
      <c r="AJ5446" s="5" t="s">
        <v>3621</v>
      </c>
      <c r="AK5446" s="5" t="s">
        <v>3623</v>
      </c>
    </row>
    <row r="5447" spans="35:37">
      <c r="AI5447" s="468">
        <v>47819</v>
      </c>
      <c r="AJ5447" s="5" t="s">
        <v>3579</v>
      </c>
      <c r="AK5447" s="5" t="s">
        <v>3625</v>
      </c>
    </row>
    <row r="5448" spans="35:37">
      <c r="AI5448" s="468">
        <v>47820</v>
      </c>
      <c r="AJ5448" s="5" t="s">
        <v>3624</v>
      </c>
      <c r="AK5448" s="5" t="s">
        <v>3627</v>
      </c>
    </row>
    <row r="5449" spans="35:37">
      <c r="AI5449" s="468">
        <v>47821</v>
      </c>
      <c r="AJ5449" s="5" t="s">
        <v>3626</v>
      </c>
      <c r="AK5449" s="5" t="s">
        <v>3618</v>
      </c>
    </row>
    <row r="5450" spans="35:37">
      <c r="AI5450" s="468">
        <v>47822</v>
      </c>
      <c r="AJ5450" s="5" t="s">
        <v>3628</v>
      </c>
      <c r="AK5450" s="5" t="s">
        <v>3620</v>
      </c>
    </row>
    <row r="5451" spans="35:37">
      <c r="AI5451" s="468">
        <v>47823</v>
      </c>
      <c r="AJ5451" s="5" t="s">
        <v>3617</v>
      </c>
      <c r="AK5451" s="5" t="s">
        <v>3622</v>
      </c>
    </row>
    <row r="5452" spans="35:37">
      <c r="AI5452" s="468">
        <v>47824</v>
      </c>
      <c r="AJ5452" s="5" t="s">
        <v>3619</v>
      </c>
      <c r="AK5452" s="5" t="s">
        <v>3623</v>
      </c>
    </row>
    <row r="5453" spans="35:37">
      <c r="AI5453" s="468">
        <v>47825</v>
      </c>
      <c r="AJ5453" s="5" t="s">
        <v>3621</v>
      </c>
      <c r="AK5453" s="5" t="s">
        <v>3625</v>
      </c>
    </row>
    <row r="5454" spans="35:37">
      <c r="AI5454" s="468">
        <v>47826</v>
      </c>
      <c r="AJ5454" s="5" t="s">
        <v>3579</v>
      </c>
      <c r="AK5454" s="5" t="s">
        <v>3627</v>
      </c>
    </row>
    <row r="5455" spans="35:37">
      <c r="AI5455" s="468">
        <v>47827</v>
      </c>
      <c r="AJ5455" s="5" t="s">
        <v>3624</v>
      </c>
      <c r="AK5455" s="5" t="s">
        <v>3618</v>
      </c>
    </row>
    <row r="5456" spans="35:37">
      <c r="AI5456" s="468">
        <v>47828</v>
      </c>
      <c r="AJ5456" s="5" t="s">
        <v>3626</v>
      </c>
      <c r="AK5456" s="5" t="s">
        <v>3620</v>
      </c>
    </row>
    <row r="5457" spans="35:37">
      <c r="AI5457" s="468">
        <v>47829</v>
      </c>
      <c r="AJ5457" s="5" t="s">
        <v>3628</v>
      </c>
      <c r="AK5457" s="5" t="s">
        <v>3622</v>
      </c>
    </row>
    <row r="5458" spans="35:37">
      <c r="AI5458" s="468">
        <v>47830</v>
      </c>
      <c r="AJ5458" s="5" t="s">
        <v>3617</v>
      </c>
      <c r="AK5458" s="5" t="s">
        <v>3623</v>
      </c>
    </row>
    <row r="5459" spans="35:37">
      <c r="AI5459" s="468">
        <v>47831</v>
      </c>
      <c r="AJ5459" s="5" t="s">
        <v>3619</v>
      </c>
      <c r="AK5459" s="5" t="s">
        <v>3625</v>
      </c>
    </row>
    <row r="5460" spans="35:37">
      <c r="AI5460" s="468">
        <v>47832</v>
      </c>
      <c r="AJ5460" s="5" t="s">
        <v>3621</v>
      </c>
      <c r="AK5460" s="5" t="s">
        <v>3627</v>
      </c>
    </row>
    <row r="5461" spans="35:37">
      <c r="AI5461" s="468">
        <v>47833</v>
      </c>
      <c r="AJ5461" s="5" t="s">
        <v>3579</v>
      </c>
      <c r="AK5461" s="5" t="s">
        <v>3618</v>
      </c>
    </row>
    <row r="5462" spans="35:37">
      <c r="AI5462" s="468">
        <v>47834</v>
      </c>
      <c r="AJ5462" s="5" t="s">
        <v>3624</v>
      </c>
      <c r="AK5462" s="5" t="s">
        <v>3620</v>
      </c>
    </row>
    <row r="5463" spans="35:37">
      <c r="AI5463" s="468">
        <v>47835</v>
      </c>
      <c r="AJ5463" s="5" t="s">
        <v>3626</v>
      </c>
      <c r="AK5463" s="5" t="s">
        <v>3622</v>
      </c>
    </row>
    <row r="5464" spans="35:37">
      <c r="AI5464" s="468">
        <v>47836</v>
      </c>
      <c r="AJ5464" s="5" t="s">
        <v>3628</v>
      </c>
      <c r="AK5464" s="5" t="s">
        <v>3623</v>
      </c>
    </row>
    <row r="5465" spans="35:37">
      <c r="AI5465" s="468">
        <v>47837</v>
      </c>
      <c r="AJ5465" s="5" t="s">
        <v>3617</v>
      </c>
      <c r="AK5465" s="5" t="s">
        <v>3625</v>
      </c>
    </row>
    <row r="5466" spans="35:37">
      <c r="AI5466" s="468">
        <v>47838</v>
      </c>
      <c r="AJ5466" s="5" t="s">
        <v>3619</v>
      </c>
      <c r="AK5466" s="5" t="s">
        <v>3627</v>
      </c>
    </row>
    <row r="5467" spans="35:37">
      <c r="AI5467" s="468">
        <v>47839</v>
      </c>
      <c r="AJ5467" s="5" t="s">
        <v>3621</v>
      </c>
      <c r="AK5467" s="5" t="s">
        <v>3618</v>
      </c>
    </row>
    <row r="5468" spans="35:37">
      <c r="AI5468" s="468">
        <v>47840</v>
      </c>
      <c r="AJ5468" s="5" t="s">
        <v>3579</v>
      </c>
      <c r="AK5468" s="5" t="s">
        <v>3620</v>
      </c>
    </row>
    <row r="5469" spans="35:37">
      <c r="AI5469" s="468">
        <v>47841</v>
      </c>
      <c r="AJ5469" s="5" t="s">
        <v>3624</v>
      </c>
      <c r="AK5469" s="5" t="s">
        <v>3622</v>
      </c>
    </row>
    <row r="5470" spans="35:37">
      <c r="AI5470" s="468">
        <v>47842</v>
      </c>
      <c r="AJ5470" s="5" t="s">
        <v>3626</v>
      </c>
      <c r="AK5470" s="5" t="s">
        <v>3625</v>
      </c>
    </row>
    <row r="5471" spans="35:37">
      <c r="AI5471" s="468">
        <v>47843</v>
      </c>
      <c r="AJ5471" s="5" t="s">
        <v>3628</v>
      </c>
      <c r="AK5471" s="5" t="s">
        <v>3627</v>
      </c>
    </row>
    <row r="5472" spans="35:37">
      <c r="AI5472" s="468">
        <v>47844</v>
      </c>
      <c r="AJ5472" s="5" t="s">
        <v>3617</v>
      </c>
      <c r="AK5472" s="5" t="s">
        <v>3618</v>
      </c>
    </row>
    <row r="5473" spans="35:37">
      <c r="AI5473" s="468">
        <v>47845</v>
      </c>
      <c r="AJ5473" s="5" t="s">
        <v>3619</v>
      </c>
      <c r="AK5473" s="5" t="s">
        <v>3620</v>
      </c>
    </row>
    <row r="5474" spans="35:37">
      <c r="AI5474" s="468">
        <v>47846</v>
      </c>
      <c r="AJ5474" s="5" t="s">
        <v>3621</v>
      </c>
      <c r="AK5474" s="5" t="s">
        <v>3622</v>
      </c>
    </row>
    <row r="5475" spans="35:37">
      <c r="AI5475" s="468">
        <v>47847</v>
      </c>
      <c r="AJ5475" s="5" t="s">
        <v>3579</v>
      </c>
      <c r="AK5475" s="5" t="s">
        <v>3623</v>
      </c>
    </row>
    <row r="5476" spans="35:37">
      <c r="AI5476" s="468">
        <v>47848</v>
      </c>
      <c r="AJ5476" s="5" t="s">
        <v>3624</v>
      </c>
      <c r="AK5476" s="5" t="s">
        <v>3625</v>
      </c>
    </row>
    <row r="5477" spans="35:37">
      <c r="AI5477" s="468">
        <v>47849</v>
      </c>
      <c r="AJ5477" s="5" t="s">
        <v>3626</v>
      </c>
      <c r="AK5477" s="5" t="s">
        <v>3627</v>
      </c>
    </row>
    <row r="5478" spans="35:37">
      <c r="AI5478" s="468">
        <v>47850</v>
      </c>
      <c r="AJ5478" s="5" t="s">
        <v>3628</v>
      </c>
      <c r="AK5478" s="5" t="s">
        <v>3618</v>
      </c>
    </row>
    <row r="5479" spans="35:37">
      <c r="AI5479" s="468">
        <v>47851</v>
      </c>
      <c r="AJ5479" s="5" t="s">
        <v>3617</v>
      </c>
      <c r="AK5479" s="5" t="s">
        <v>3620</v>
      </c>
    </row>
    <row r="5480" spans="35:37">
      <c r="AI5480" s="468">
        <v>47852</v>
      </c>
      <c r="AJ5480" s="5" t="s">
        <v>3619</v>
      </c>
      <c r="AK5480" s="5" t="s">
        <v>3622</v>
      </c>
    </row>
    <row r="5481" spans="35:37">
      <c r="AI5481" s="468">
        <v>47853</v>
      </c>
      <c r="AJ5481" s="5" t="s">
        <v>3621</v>
      </c>
      <c r="AK5481" s="5" t="s">
        <v>3623</v>
      </c>
    </row>
    <row r="5482" spans="35:37">
      <c r="AI5482" s="468">
        <v>47854</v>
      </c>
      <c r="AJ5482" s="5" t="s">
        <v>3579</v>
      </c>
      <c r="AK5482" s="5" t="s">
        <v>3625</v>
      </c>
    </row>
    <row r="5483" spans="35:37">
      <c r="AI5483" s="468">
        <v>47855</v>
      </c>
      <c r="AJ5483" s="5" t="s">
        <v>3624</v>
      </c>
      <c r="AK5483" s="5" t="s">
        <v>3627</v>
      </c>
    </row>
    <row r="5484" spans="35:37">
      <c r="AI5484" s="468">
        <v>47856</v>
      </c>
      <c r="AJ5484" s="5" t="s">
        <v>3626</v>
      </c>
      <c r="AK5484" s="5" t="s">
        <v>3618</v>
      </c>
    </row>
    <row r="5485" spans="35:37">
      <c r="AI5485" s="468">
        <v>47857</v>
      </c>
      <c r="AJ5485" s="5" t="s">
        <v>3628</v>
      </c>
      <c r="AK5485" s="5" t="s">
        <v>3620</v>
      </c>
    </row>
    <row r="5486" spans="35:37">
      <c r="AI5486" s="468">
        <v>47858</v>
      </c>
      <c r="AJ5486" s="5" t="s">
        <v>3617</v>
      </c>
      <c r="AK5486" s="5" t="s">
        <v>3622</v>
      </c>
    </row>
    <row r="5487" spans="35:37">
      <c r="AI5487" s="468">
        <v>47859</v>
      </c>
      <c r="AJ5487" s="5" t="s">
        <v>3619</v>
      </c>
      <c r="AK5487" s="5" t="s">
        <v>3623</v>
      </c>
    </row>
    <row r="5488" spans="35:37">
      <c r="AI5488" s="468">
        <v>47860</v>
      </c>
      <c r="AJ5488" s="5" t="s">
        <v>3621</v>
      </c>
      <c r="AK5488" s="5" t="s">
        <v>3625</v>
      </c>
    </row>
    <row r="5489" spans="35:37">
      <c r="AI5489" s="468">
        <v>47861</v>
      </c>
      <c r="AJ5489" s="5" t="s">
        <v>3579</v>
      </c>
      <c r="AK5489" s="5" t="s">
        <v>3627</v>
      </c>
    </row>
    <row r="5490" spans="35:37">
      <c r="AI5490" s="468">
        <v>47862</v>
      </c>
      <c r="AJ5490" s="5" t="s">
        <v>3624</v>
      </c>
      <c r="AK5490" s="5" t="s">
        <v>3618</v>
      </c>
    </row>
    <row r="5491" spans="35:37">
      <c r="AI5491" s="468">
        <v>47863</v>
      </c>
      <c r="AJ5491" s="5" t="s">
        <v>3626</v>
      </c>
      <c r="AK5491" s="5" t="s">
        <v>3620</v>
      </c>
    </row>
    <row r="5492" spans="35:37">
      <c r="AI5492" s="468">
        <v>47864</v>
      </c>
      <c r="AJ5492" s="5" t="s">
        <v>3628</v>
      </c>
      <c r="AK5492" s="5" t="s">
        <v>3622</v>
      </c>
    </row>
    <row r="5493" spans="35:37">
      <c r="AI5493" s="468">
        <v>47865</v>
      </c>
      <c r="AJ5493" s="5" t="s">
        <v>3617</v>
      </c>
      <c r="AK5493" s="5" t="s">
        <v>3623</v>
      </c>
    </row>
    <row r="5494" spans="35:37">
      <c r="AI5494" s="468">
        <v>47866</v>
      </c>
      <c r="AJ5494" s="5" t="s">
        <v>3619</v>
      </c>
      <c r="AK5494" s="5" t="s">
        <v>3625</v>
      </c>
    </row>
    <row r="5495" spans="35:37">
      <c r="AI5495" s="468">
        <v>47867</v>
      </c>
      <c r="AJ5495" s="5" t="s">
        <v>3621</v>
      </c>
      <c r="AK5495" s="5" t="s">
        <v>3627</v>
      </c>
    </row>
    <row r="5496" spans="35:37">
      <c r="AI5496" s="468">
        <v>47868</v>
      </c>
      <c r="AJ5496" s="5" t="s">
        <v>3579</v>
      </c>
      <c r="AK5496" s="5" t="s">
        <v>3618</v>
      </c>
    </row>
    <row r="5497" spans="35:37">
      <c r="AI5497" s="468">
        <v>47869</v>
      </c>
      <c r="AJ5497" s="5" t="s">
        <v>3624</v>
      </c>
      <c r="AK5497" s="5" t="s">
        <v>3620</v>
      </c>
    </row>
    <row r="5498" spans="35:37">
      <c r="AI5498" s="468">
        <v>47870</v>
      </c>
      <c r="AJ5498" s="5" t="s">
        <v>3626</v>
      </c>
      <c r="AK5498" s="5" t="s">
        <v>3622</v>
      </c>
    </row>
    <row r="5499" spans="35:37">
      <c r="AI5499" s="468">
        <v>47871</v>
      </c>
      <c r="AJ5499" s="5" t="s">
        <v>3628</v>
      </c>
      <c r="AK5499" s="5" t="s">
        <v>3627</v>
      </c>
    </row>
    <row r="5500" spans="35:37">
      <c r="AI5500" s="468">
        <v>47872</v>
      </c>
      <c r="AJ5500" s="5" t="s">
        <v>3617</v>
      </c>
      <c r="AK5500" s="5" t="s">
        <v>3618</v>
      </c>
    </row>
    <row r="5501" spans="35:37">
      <c r="AI5501" s="468">
        <v>47873</v>
      </c>
      <c r="AJ5501" s="5" t="s">
        <v>3619</v>
      </c>
      <c r="AK5501" s="5" t="s">
        <v>3620</v>
      </c>
    </row>
    <row r="5502" spans="35:37">
      <c r="AI5502" s="468">
        <v>47874</v>
      </c>
      <c r="AJ5502" s="5" t="s">
        <v>3621</v>
      </c>
      <c r="AK5502" s="5" t="s">
        <v>3622</v>
      </c>
    </row>
    <row r="5503" spans="35:37">
      <c r="AI5503" s="468">
        <v>47875</v>
      </c>
      <c r="AJ5503" s="5" t="s">
        <v>3579</v>
      </c>
      <c r="AK5503" s="5" t="s">
        <v>3623</v>
      </c>
    </row>
    <row r="5504" spans="35:37">
      <c r="AI5504" s="468">
        <v>47876</v>
      </c>
      <c r="AJ5504" s="5" t="s">
        <v>3624</v>
      </c>
      <c r="AK5504" s="5" t="s">
        <v>3625</v>
      </c>
    </row>
    <row r="5505" spans="35:37">
      <c r="AI5505" s="468">
        <v>47877</v>
      </c>
      <c r="AJ5505" s="5" t="s">
        <v>3626</v>
      </c>
      <c r="AK5505" s="5" t="s">
        <v>3627</v>
      </c>
    </row>
    <row r="5506" spans="35:37">
      <c r="AI5506" s="468">
        <v>47878</v>
      </c>
      <c r="AJ5506" s="5" t="s">
        <v>3628</v>
      </c>
      <c r="AK5506" s="5" t="s">
        <v>3618</v>
      </c>
    </row>
    <row r="5507" spans="35:37">
      <c r="AI5507" s="468">
        <v>47879</v>
      </c>
      <c r="AJ5507" s="5" t="s">
        <v>3617</v>
      </c>
      <c r="AK5507" s="5" t="s">
        <v>3620</v>
      </c>
    </row>
    <row r="5508" spans="35:37">
      <c r="AI5508" s="468">
        <v>47880</v>
      </c>
      <c r="AJ5508" s="5" t="s">
        <v>3619</v>
      </c>
      <c r="AK5508" s="5" t="s">
        <v>3622</v>
      </c>
    </row>
    <row r="5509" spans="35:37">
      <c r="AI5509" s="468">
        <v>47881</v>
      </c>
      <c r="AJ5509" s="5" t="s">
        <v>3621</v>
      </c>
      <c r="AK5509" s="5" t="s">
        <v>3623</v>
      </c>
    </row>
    <row r="5510" spans="35:37">
      <c r="AI5510" s="468">
        <v>47882</v>
      </c>
      <c r="AJ5510" s="5" t="s">
        <v>3579</v>
      </c>
      <c r="AK5510" s="5" t="s">
        <v>3625</v>
      </c>
    </row>
    <row r="5511" spans="35:37">
      <c r="AI5511" s="468">
        <v>47883</v>
      </c>
      <c r="AJ5511" s="5" t="s">
        <v>3624</v>
      </c>
      <c r="AK5511" s="5" t="s">
        <v>3627</v>
      </c>
    </row>
    <row r="5512" spans="35:37">
      <c r="AI5512" s="468">
        <v>47884</v>
      </c>
      <c r="AJ5512" s="5" t="s">
        <v>3626</v>
      </c>
      <c r="AK5512" s="5" t="s">
        <v>3618</v>
      </c>
    </row>
    <row r="5513" spans="35:37">
      <c r="AI5513" s="468">
        <v>47885</v>
      </c>
      <c r="AJ5513" s="5" t="s">
        <v>3628</v>
      </c>
      <c r="AK5513" s="5" t="s">
        <v>3620</v>
      </c>
    </row>
    <row r="5514" spans="35:37">
      <c r="AI5514" s="468">
        <v>47886</v>
      </c>
      <c r="AJ5514" s="5" t="s">
        <v>3617</v>
      </c>
      <c r="AK5514" s="5" t="s">
        <v>3622</v>
      </c>
    </row>
    <row r="5515" spans="35:37">
      <c r="AI5515" s="468">
        <v>47887</v>
      </c>
      <c r="AJ5515" s="5" t="s">
        <v>3619</v>
      </c>
      <c r="AK5515" s="5" t="s">
        <v>3623</v>
      </c>
    </row>
    <row r="5516" spans="35:37">
      <c r="AI5516" s="468">
        <v>47888</v>
      </c>
      <c r="AJ5516" s="5" t="s">
        <v>3621</v>
      </c>
      <c r="AK5516" s="5" t="s">
        <v>3625</v>
      </c>
    </row>
    <row r="5517" spans="35:37">
      <c r="AI5517" s="468">
        <v>47889</v>
      </c>
      <c r="AJ5517" s="5" t="s">
        <v>3579</v>
      </c>
      <c r="AK5517" s="5" t="s">
        <v>3627</v>
      </c>
    </row>
    <row r="5518" spans="35:37">
      <c r="AI5518" s="468">
        <v>47890</v>
      </c>
      <c r="AJ5518" s="5" t="s">
        <v>3624</v>
      </c>
      <c r="AK5518" s="5" t="s">
        <v>3618</v>
      </c>
    </row>
    <row r="5519" spans="35:37">
      <c r="AI5519" s="468">
        <v>47891</v>
      </c>
      <c r="AJ5519" s="5" t="s">
        <v>3626</v>
      </c>
      <c r="AK5519" s="5" t="s">
        <v>3620</v>
      </c>
    </row>
    <row r="5520" spans="35:37">
      <c r="AI5520" s="468">
        <v>47892</v>
      </c>
      <c r="AJ5520" s="5" t="s">
        <v>3628</v>
      </c>
      <c r="AK5520" s="5" t="s">
        <v>3622</v>
      </c>
    </row>
    <row r="5521" spans="35:37">
      <c r="AI5521" s="468">
        <v>47893</v>
      </c>
      <c r="AJ5521" s="5" t="s">
        <v>3617</v>
      </c>
      <c r="AK5521" s="5" t="s">
        <v>3623</v>
      </c>
    </row>
    <row r="5522" spans="35:37">
      <c r="AI5522" s="468">
        <v>47894</v>
      </c>
      <c r="AJ5522" s="5" t="s">
        <v>3619</v>
      </c>
      <c r="AK5522" s="5" t="s">
        <v>3625</v>
      </c>
    </row>
    <row r="5523" spans="35:37">
      <c r="AI5523" s="468">
        <v>47895</v>
      </c>
      <c r="AJ5523" s="5" t="s">
        <v>3621</v>
      </c>
      <c r="AK5523" s="5" t="s">
        <v>3627</v>
      </c>
    </row>
    <row r="5524" spans="35:37">
      <c r="AI5524" s="468">
        <v>47896</v>
      </c>
      <c r="AJ5524" s="5" t="s">
        <v>3579</v>
      </c>
      <c r="AK5524" s="5" t="s">
        <v>3618</v>
      </c>
    </row>
    <row r="5525" spans="35:37">
      <c r="AI5525" s="468">
        <v>47897</v>
      </c>
      <c r="AJ5525" s="5" t="s">
        <v>3624</v>
      </c>
      <c r="AK5525" s="5" t="s">
        <v>3620</v>
      </c>
    </row>
    <row r="5526" spans="35:37">
      <c r="AI5526" s="468">
        <v>47898</v>
      </c>
      <c r="AJ5526" s="5" t="s">
        <v>3626</v>
      </c>
      <c r="AK5526" s="5" t="s">
        <v>3622</v>
      </c>
    </row>
    <row r="5527" spans="35:37">
      <c r="AI5527" s="468">
        <v>47899</v>
      </c>
      <c r="AJ5527" s="5" t="s">
        <v>3628</v>
      </c>
      <c r="AK5527" s="5" t="s">
        <v>3623</v>
      </c>
    </row>
    <row r="5528" spans="35:37">
      <c r="AI5528" s="468">
        <v>47900</v>
      </c>
      <c r="AJ5528" s="5" t="s">
        <v>3617</v>
      </c>
      <c r="AK5528" s="5" t="s">
        <v>3625</v>
      </c>
    </row>
    <row r="5529" spans="35:37">
      <c r="AI5529" s="468">
        <v>47901</v>
      </c>
      <c r="AJ5529" s="5" t="s">
        <v>3619</v>
      </c>
      <c r="AK5529" s="5" t="s">
        <v>3618</v>
      </c>
    </row>
    <row r="5530" spans="35:37">
      <c r="AI5530" s="468">
        <v>47902</v>
      </c>
      <c r="AJ5530" s="5" t="s">
        <v>3621</v>
      </c>
      <c r="AK5530" s="5" t="s">
        <v>3620</v>
      </c>
    </row>
    <row r="5531" spans="35:37">
      <c r="AI5531" s="468">
        <v>47903</v>
      </c>
      <c r="AJ5531" s="5" t="s">
        <v>3579</v>
      </c>
      <c r="AK5531" s="5" t="s">
        <v>3622</v>
      </c>
    </row>
    <row r="5532" spans="35:37">
      <c r="AI5532" s="468">
        <v>47904</v>
      </c>
      <c r="AJ5532" s="5" t="s">
        <v>3624</v>
      </c>
      <c r="AK5532" s="5" t="s">
        <v>3623</v>
      </c>
    </row>
    <row r="5533" spans="35:37">
      <c r="AI5533" s="468">
        <v>47905</v>
      </c>
      <c r="AJ5533" s="5" t="s">
        <v>3626</v>
      </c>
      <c r="AK5533" s="5" t="s">
        <v>3625</v>
      </c>
    </row>
    <row r="5534" spans="35:37">
      <c r="AI5534" s="468">
        <v>47906</v>
      </c>
      <c r="AJ5534" s="5" t="s">
        <v>3628</v>
      </c>
      <c r="AK5534" s="5" t="s">
        <v>3627</v>
      </c>
    </row>
    <row r="5535" spans="35:37">
      <c r="AI5535" s="468">
        <v>47907</v>
      </c>
      <c r="AJ5535" s="5" t="s">
        <v>3617</v>
      </c>
      <c r="AK5535" s="5" t="s">
        <v>3618</v>
      </c>
    </row>
    <row r="5536" spans="35:37">
      <c r="AI5536" s="468">
        <v>47908</v>
      </c>
      <c r="AJ5536" s="5" t="s">
        <v>3619</v>
      </c>
      <c r="AK5536" s="5" t="s">
        <v>3620</v>
      </c>
    </row>
    <row r="5537" spans="35:37">
      <c r="AI5537" s="468">
        <v>47909</v>
      </c>
      <c r="AJ5537" s="5" t="s">
        <v>3621</v>
      </c>
      <c r="AK5537" s="5" t="s">
        <v>3622</v>
      </c>
    </row>
    <row r="5538" spans="35:37">
      <c r="AI5538" s="468">
        <v>47910</v>
      </c>
      <c r="AJ5538" s="5" t="s">
        <v>3579</v>
      </c>
      <c r="AK5538" s="5" t="s">
        <v>3623</v>
      </c>
    </row>
    <row r="5539" spans="35:37">
      <c r="AI5539" s="468">
        <v>47911</v>
      </c>
      <c r="AJ5539" s="5" t="s">
        <v>3624</v>
      </c>
      <c r="AK5539" s="5" t="s">
        <v>3625</v>
      </c>
    </row>
    <row r="5540" spans="35:37">
      <c r="AI5540" s="468">
        <v>47912</v>
      </c>
      <c r="AJ5540" s="5" t="s">
        <v>3626</v>
      </c>
      <c r="AK5540" s="5" t="s">
        <v>3627</v>
      </c>
    </row>
    <row r="5541" spans="35:37">
      <c r="AI5541" s="468">
        <v>47913</v>
      </c>
      <c r="AJ5541" s="5" t="s">
        <v>3628</v>
      </c>
      <c r="AK5541" s="5" t="s">
        <v>3618</v>
      </c>
    </row>
    <row r="5542" spans="35:37">
      <c r="AI5542" s="468">
        <v>47914</v>
      </c>
      <c r="AJ5542" s="5" t="s">
        <v>3617</v>
      </c>
      <c r="AK5542" s="5" t="s">
        <v>3620</v>
      </c>
    </row>
    <row r="5543" spans="35:37">
      <c r="AI5543" s="468">
        <v>47915</v>
      </c>
      <c r="AJ5543" s="5" t="s">
        <v>3619</v>
      </c>
      <c r="AK5543" s="5" t="s">
        <v>3622</v>
      </c>
    </row>
    <row r="5544" spans="35:37">
      <c r="AI5544" s="468">
        <v>47916</v>
      </c>
      <c r="AJ5544" s="5" t="s">
        <v>3621</v>
      </c>
      <c r="AK5544" s="5" t="s">
        <v>3623</v>
      </c>
    </row>
    <row r="5545" spans="35:37">
      <c r="AI5545" s="468">
        <v>47917</v>
      </c>
      <c r="AJ5545" s="5" t="s">
        <v>3579</v>
      </c>
      <c r="AK5545" s="5" t="s">
        <v>3625</v>
      </c>
    </row>
    <row r="5546" spans="35:37">
      <c r="AI5546" s="468">
        <v>47918</v>
      </c>
      <c r="AJ5546" s="5" t="s">
        <v>3624</v>
      </c>
      <c r="AK5546" s="5" t="s">
        <v>3627</v>
      </c>
    </row>
    <row r="5547" spans="35:37">
      <c r="AI5547" s="468">
        <v>47919</v>
      </c>
      <c r="AJ5547" s="5" t="s">
        <v>3626</v>
      </c>
      <c r="AK5547" s="5" t="s">
        <v>3618</v>
      </c>
    </row>
    <row r="5548" spans="35:37">
      <c r="AI5548" s="468">
        <v>47920</v>
      </c>
      <c r="AJ5548" s="5" t="s">
        <v>3628</v>
      </c>
      <c r="AK5548" s="5" t="s">
        <v>3620</v>
      </c>
    </row>
    <row r="5549" spans="35:37">
      <c r="AI5549" s="468">
        <v>47921</v>
      </c>
      <c r="AJ5549" s="5" t="s">
        <v>3617</v>
      </c>
      <c r="AK5549" s="5" t="s">
        <v>3622</v>
      </c>
    </row>
    <row r="5550" spans="35:37">
      <c r="AI5550" s="468">
        <v>47922</v>
      </c>
      <c r="AJ5550" s="5" t="s">
        <v>3619</v>
      </c>
      <c r="AK5550" s="5" t="s">
        <v>3623</v>
      </c>
    </row>
    <row r="5551" spans="35:37">
      <c r="AI5551" s="468">
        <v>47923</v>
      </c>
      <c r="AJ5551" s="5" t="s">
        <v>3621</v>
      </c>
      <c r="AK5551" s="5" t="s">
        <v>3625</v>
      </c>
    </row>
    <row r="5552" spans="35:37">
      <c r="AI5552" s="468">
        <v>47924</v>
      </c>
      <c r="AJ5552" s="5" t="s">
        <v>3579</v>
      </c>
      <c r="AK5552" s="5" t="s">
        <v>3627</v>
      </c>
    </row>
    <row r="5553" spans="35:37">
      <c r="AI5553" s="468">
        <v>47925</v>
      </c>
      <c r="AJ5553" s="5" t="s">
        <v>3624</v>
      </c>
      <c r="AK5553" s="5" t="s">
        <v>3618</v>
      </c>
    </row>
    <row r="5554" spans="35:37">
      <c r="AI5554" s="468">
        <v>47926</v>
      </c>
      <c r="AJ5554" s="5" t="s">
        <v>3626</v>
      </c>
      <c r="AK5554" s="5" t="s">
        <v>3620</v>
      </c>
    </row>
    <row r="5555" spans="35:37">
      <c r="AI5555" s="468">
        <v>47927</v>
      </c>
      <c r="AJ5555" s="5" t="s">
        <v>3628</v>
      </c>
      <c r="AK5555" s="5" t="s">
        <v>3622</v>
      </c>
    </row>
    <row r="5556" spans="35:37">
      <c r="AI5556" s="468">
        <v>47928</v>
      </c>
      <c r="AJ5556" s="5" t="s">
        <v>3617</v>
      </c>
      <c r="AK5556" s="5" t="s">
        <v>3623</v>
      </c>
    </row>
    <row r="5557" spans="35:37">
      <c r="AI5557" s="468">
        <v>47929</v>
      </c>
      <c r="AJ5557" s="5" t="s">
        <v>3619</v>
      </c>
      <c r="AK5557" s="5" t="s">
        <v>3625</v>
      </c>
    </row>
    <row r="5558" spans="35:37">
      <c r="AI5558" s="468">
        <v>47930</v>
      </c>
      <c r="AJ5558" s="5" t="s">
        <v>3621</v>
      </c>
      <c r="AK5558" s="5" t="s">
        <v>3620</v>
      </c>
    </row>
    <row r="5559" spans="35:37">
      <c r="AI5559" s="468">
        <v>47931</v>
      </c>
      <c r="AJ5559" s="5" t="s">
        <v>3579</v>
      </c>
      <c r="AK5559" s="5" t="s">
        <v>3622</v>
      </c>
    </row>
    <row r="5560" spans="35:37">
      <c r="AI5560" s="468">
        <v>47932</v>
      </c>
      <c r="AJ5560" s="5" t="s">
        <v>3624</v>
      </c>
      <c r="AK5560" s="5" t="s">
        <v>3623</v>
      </c>
    </row>
    <row r="5561" spans="35:37">
      <c r="AI5561" s="468">
        <v>47933</v>
      </c>
      <c r="AJ5561" s="5" t="s">
        <v>3626</v>
      </c>
      <c r="AK5561" s="5" t="s">
        <v>3625</v>
      </c>
    </row>
    <row r="5562" spans="35:37">
      <c r="AI5562" s="468">
        <v>47934</v>
      </c>
      <c r="AJ5562" s="5" t="s">
        <v>3628</v>
      </c>
      <c r="AK5562" s="5" t="s">
        <v>3627</v>
      </c>
    </row>
    <row r="5563" spans="35:37">
      <c r="AI5563" s="468">
        <v>47935</v>
      </c>
      <c r="AJ5563" s="5" t="s">
        <v>3617</v>
      </c>
      <c r="AK5563" s="5" t="s">
        <v>3618</v>
      </c>
    </row>
    <row r="5564" spans="35:37">
      <c r="AI5564" s="468">
        <v>47936</v>
      </c>
      <c r="AJ5564" s="5" t="s">
        <v>3619</v>
      </c>
      <c r="AK5564" s="5" t="s">
        <v>3620</v>
      </c>
    </row>
    <row r="5565" spans="35:37">
      <c r="AI5565" s="468">
        <v>47937</v>
      </c>
      <c r="AJ5565" s="5" t="s">
        <v>3621</v>
      </c>
      <c r="AK5565" s="5" t="s">
        <v>3622</v>
      </c>
    </row>
    <row r="5566" spans="35:37">
      <c r="AI5566" s="468">
        <v>47938</v>
      </c>
      <c r="AJ5566" s="5" t="s">
        <v>3579</v>
      </c>
      <c r="AK5566" s="5" t="s">
        <v>3623</v>
      </c>
    </row>
    <row r="5567" spans="35:37">
      <c r="AI5567" s="468">
        <v>47939</v>
      </c>
      <c r="AJ5567" s="5" t="s">
        <v>3624</v>
      </c>
      <c r="AK5567" s="5" t="s">
        <v>3625</v>
      </c>
    </row>
    <row r="5568" spans="35:37">
      <c r="AI5568" s="468">
        <v>47940</v>
      </c>
      <c r="AJ5568" s="5" t="s">
        <v>3626</v>
      </c>
      <c r="AK5568" s="5" t="s">
        <v>3627</v>
      </c>
    </row>
    <row r="5569" spans="35:37">
      <c r="AI5569" s="468">
        <v>47941</v>
      </c>
      <c r="AJ5569" s="5" t="s">
        <v>3628</v>
      </c>
      <c r="AK5569" s="5" t="s">
        <v>3618</v>
      </c>
    </row>
    <row r="5570" spans="35:37">
      <c r="AI5570" s="468">
        <v>47942</v>
      </c>
      <c r="AJ5570" s="5" t="s">
        <v>3617</v>
      </c>
      <c r="AK5570" s="5" t="s">
        <v>3620</v>
      </c>
    </row>
    <row r="5571" spans="35:37">
      <c r="AI5571" s="468">
        <v>47943</v>
      </c>
      <c r="AJ5571" s="5" t="s">
        <v>3619</v>
      </c>
      <c r="AK5571" s="5" t="s">
        <v>3622</v>
      </c>
    </row>
    <row r="5572" spans="35:37">
      <c r="AI5572" s="468">
        <v>47944</v>
      </c>
      <c r="AJ5572" s="5" t="s">
        <v>3621</v>
      </c>
      <c r="AK5572" s="5" t="s">
        <v>3623</v>
      </c>
    </row>
    <row r="5573" spans="35:37">
      <c r="AI5573" s="468">
        <v>47945</v>
      </c>
      <c r="AJ5573" s="5" t="s">
        <v>3579</v>
      </c>
      <c r="AK5573" s="5" t="s">
        <v>3625</v>
      </c>
    </row>
    <row r="5574" spans="35:37">
      <c r="AI5574" s="468">
        <v>47946</v>
      </c>
      <c r="AJ5574" s="5" t="s">
        <v>3624</v>
      </c>
      <c r="AK5574" s="5" t="s">
        <v>3627</v>
      </c>
    </row>
    <row r="5575" spans="35:37">
      <c r="AI5575" s="468">
        <v>47947</v>
      </c>
      <c r="AJ5575" s="5" t="s">
        <v>3626</v>
      </c>
      <c r="AK5575" s="5" t="s">
        <v>3618</v>
      </c>
    </row>
    <row r="5576" spans="35:37">
      <c r="AI5576" s="468">
        <v>47948</v>
      </c>
      <c r="AJ5576" s="5" t="s">
        <v>3628</v>
      </c>
      <c r="AK5576" s="5" t="s">
        <v>3620</v>
      </c>
    </row>
    <row r="5577" spans="35:37">
      <c r="AI5577" s="468">
        <v>47949</v>
      </c>
      <c r="AJ5577" s="5" t="s">
        <v>3617</v>
      </c>
      <c r="AK5577" s="5" t="s">
        <v>3622</v>
      </c>
    </row>
    <row r="5578" spans="35:37">
      <c r="AI5578" s="468">
        <v>47950</v>
      </c>
      <c r="AJ5578" s="5" t="s">
        <v>3619</v>
      </c>
      <c r="AK5578" s="5" t="s">
        <v>3623</v>
      </c>
    </row>
    <row r="5579" spans="35:37">
      <c r="AI5579" s="468">
        <v>47951</v>
      </c>
      <c r="AJ5579" s="5" t="s">
        <v>3621</v>
      </c>
      <c r="AK5579" s="5" t="s">
        <v>3625</v>
      </c>
    </row>
    <row r="5580" spans="35:37">
      <c r="AI5580" s="468">
        <v>47952</v>
      </c>
      <c r="AJ5580" s="5" t="s">
        <v>3579</v>
      </c>
      <c r="AK5580" s="5" t="s">
        <v>3627</v>
      </c>
    </row>
    <row r="5581" spans="35:37">
      <c r="AI5581" s="468">
        <v>47953</v>
      </c>
      <c r="AJ5581" s="5" t="s">
        <v>3624</v>
      </c>
      <c r="AK5581" s="5" t="s">
        <v>3618</v>
      </c>
    </row>
    <row r="5582" spans="35:37">
      <c r="AI5582" s="468">
        <v>47954</v>
      </c>
      <c r="AJ5582" s="5" t="s">
        <v>3626</v>
      </c>
      <c r="AK5582" s="5" t="s">
        <v>3620</v>
      </c>
    </row>
    <row r="5583" spans="35:37">
      <c r="AI5583" s="468">
        <v>47955</v>
      </c>
      <c r="AJ5583" s="5" t="s">
        <v>3628</v>
      </c>
      <c r="AK5583" s="5" t="s">
        <v>3622</v>
      </c>
    </row>
    <row r="5584" spans="35:37">
      <c r="AI5584" s="468">
        <v>47956</v>
      </c>
      <c r="AJ5584" s="5" t="s">
        <v>3617</v>
      </c>
      <c r="AK5584" s="5" t="s">
        <v>3623</v>
      </c>
    </row>
    <row r="5585" spans="35:37">
      <c r="AI5585" s="468">
        <v>47957</v>
      </c>
      <c r="AJ5585" s="5" t="s">
        <v>3619</v>
      </c>
      <c r="AK5585" s="5" t="s">
        <v>3625</v>
      </c>
    </row>
    <row r="5586" spans="35:37">
      <c r="AI5586" s="468">
        <v>47958</v>
      </c>
      <c r="AJ5586" s="5" t="s">
        <v>3621</v>
      </c>
      <c r="AK5586" s="5" t="s">
        <v>3627</v>
      </c>
    </row>
    <row r="5587" spans="35:37">
      <c r="AI5587" s="468">
        <v>47959</v>
      </c>
      <c r="AJ5587" s="5" t="s">
        <v>3579</v>
      </c>
      <c r="AK5587" s="5" t="s">
        <v>3618</v>
      </c>
    </row>
    <row r="5588" spans="35:37">
      <c r="AI5588" s="468">
        <v>47960</v>
      </c>
      <c r="AJ5588" s="5" t="s">
        <v>3624</v>
      </c>
      <c r="AK5588" s="5" t="s">
        <v>3620</v>
      </c>
    </row>
    <row r="5589" spans="35:37">
      <c r="AI5589" s="468">
        <v>47961</v>
      </c>
      <c r="AJ5589" s="5" t="s">
        <v>3626</v>
      </c>
      <c r="AK5589" s="5" t="s">
        <v>3622</v>
      </c>
    </row>
    <row r="5590" spans="35:37">
      <c r="AI5590" s="468">
        <v>47962</v>
      </c>
      <c r="AJ5590" s="5" t="s">
        <v>3628</v>
      </c>
      <c r="AK5590" s="5" t="s">
        <v>3623</v>
      </c>
    </row>
    <row r="5591" spans="35:37">
      <c r="AI5591" s="468">
        <v>47963</v>
      </c>
      <c r="AJ5591" s="5" t="s">
        <v>3617</v>
      </c>
      <c r="AK5591" s="5" t="s">
        <v>3625</v>
      </c>
    </row>
    <row r="5592" spans="35:37">
      <c r="AI5592" s="468">
        <v>47964</v>
      </c>
      <c r="AJ5592" s="5" t="s">
        <v>3619</v>
      </c>
      <c r="AK5592" s="5" t="s">
        <v>3627</v>
      </c>
    </row>
    <row r="5593" spans="35:37">
      <c r="AI5593" s="468">
        <v>47965</v>
      </c>
      <c r="AJ5593" s="5" t="s">
        <v>3621</v>
      </c>
      <c r="AK5593" s="5" t="s">
        <v>3618</v>
      </c>
    </row>
    <row r="5594" spans="35:37">
      <c r="AI5594" s="468">
        <v>47966</v>
      </c>
      <c r="AJ5594" s="5" t="s">
        <v>3579</v>
      </c>
      <c r="AK5594" s="5" t="s">
        <v>3620</v>
      </c>
    </row>
    <row r="5595" spans="35:37">
      <c r="AI5595" s="468">
        <v>47967</v>
      </c>
      <c r="AJ5595" s="5" t="s">
        <v>3624</v>
      </c>
      <c r="AK5595" s="5" t="s">
        <v>3622</v>
      </c>
    </row>
    <row r="5596" spans="35:37">
      <c r="AI5596" s="468">
        <v>47968</v>
      </c>
      <c r="AJ5596" s="5" t="s">
        <v>3626</v>
      </c>
      <c r="AK5596" s="5" t="s">
        <v>3623</v>
      </c>
    </row>
    <row r="5597" spans="35:37">
      <c r="AI5597" s="468">
        <v>47969</v>
      </c>
      <c r="AJ5597" s="5" t="s">
        <v>3628</v>
      </c>
      <c r="AK5597" s="5" t="s">
        <v>3625</v>
      </c>
    </row>
    <row r="5598" spans="35:37">
      <c r="AI5598" s="468">
        <v>47970</v>
      </c>
      <c r="AJ5598" s="5" t="s">
        <v>3617</v>
      </c>
      <c r="AK5598" s="5" t="s">
        <v>3627</v>
      </c>
    </row>
    <row r="5599" spans="35:37">
      <c r="AI5599" s="468">
        <v>47971</v>
      </c>
      <c r="AJ5599" s="5" t="s">
        <v>3619</v>
      </c>
      <c r="AK5599" s="5" t="s">
        <v>3618</v>
      </c>
    </row>
    <row r="5600" spans="35:37">
      <c r="AI5600" s="468">
        <v>47972</v>
      </c>
      <c r="AJ5600" s="5" t="s">
        <v>3621</v>
      </c>
      <c r="AK5600" s="5" t="s">
        <v>3620</v>
      </c>
    </row>
    <row r="5601" spans="35:37">
      <c r="AI5601" s="468">
        <v>47973</v>
      </c>
      <c r="AJ5601" s="5" t="s">
        <v>3579</v>
      </c>
      <c r="AK5601" s="5" t="s">
        <v>3622</v>
      </c>
    </row>
    <row r="5602" spans="35:37">
      <c r="AI5602" s="468">
        <v>47974</v>
      </c>
      <c r="AJ5602" s="5" t="s">
        <v>3624</v>
      </c>
      <c r="AK5602" s="5" t="s">
        <v>3623</v>
      </c>
    </row>
    <row r="5603" spans="35:37">
      <c r="AI5603" s="468">
        <v>47975</v>
      </c>
      <c r="AJ5603" s="5" t="s">
        <v>3626</v>
      </c>
      <c r="AK5603" s="5" t="s">
        <v>3625</v>
      </c>
    </row>
    <row r="5604" spans="35:37">
      <c r="AI5604" s="468">
        <v>47976</v>
      </c>
      <c r="AJ5604" s="5" t="s">
        <v>3628</v>
      </c>
      <c r="AK5604" s="5" t="s">
        <v>3627</v>
      </c>
    </row>
    <row r="5605" spans="35:37">
      <c r="AI5605" s="468">
        <v>47977</v>
      </c>
      <c r="AJ5605" s="5" t="s">
        <v>3617</v>
      </c>
      <c r="AK5605" s="5" t="s">
        <v>3618</v>
      </c>
    </row>
    <row r="5606" spans="35:37">
      <c r="AI5606" s="468">
        <v>47978</v>
      </c>
      <c r="AJ5606" s="5" t="s">
        <v>3619</v>
      </c>
      <c r="AK5606" s="5" t="s">
        <v>3620</v>
      </c>
    </row>
    <row r="5607" spans="35:37">
      <c r="AI5607" s="468">
        <v>47979</v>
      </c>
      <c r="AJ5607" s="5" t="s">
        <v>3621</v>
      </c>
      <c r="AK5607" s="5" t="s">
        <v>3622</v>
      </c>
    </row>
    <row r="5608" spans="35:37">
      <c r="AI5608" s="468">
        <v>47980</v>
      </c>
      <c r="AJ5608" s="5" t="s">
        <v>3579</v>
      </c>
      <c r="AK5608" s="5" t="s">
        <v>3623</v>
      </c>
    </row>
    <row r="5609" spans="35:37">
      <c r="AI5609" s="468">
        <v>47981</v>
      </c>
      <c r="AJ5609" s="5" t="s">
        <v>3624</v>
      </c>
      <c r="AK5609" s="5" t="s">
        <v>3625</v>
      </c>
    </row>
    <row r="5610" spans="35:37">
      <c r="AI5610" s="468">
        <v>47982</v>
      </c>
      <c r="AJ5610" s="5" t="s">
        <v>3626</v>
      </c>
      <c r="AK5610" s="5" t="s">
        <v>3627</v>
      </c>
    </row>
    <row r="5611" spans="35:37">
      <c r="AI5611" s="468">
        <v>47983</v>
      </c>
      <c r="AJ5611" s="5" t="s">
        <v>3628</v>
      </c>
      <c r="AK5611" s="5" t="s">
        <v>3618</v>
      </c>
    </row>
    <row r="5612" spans="35:37">
      <c r="AI5612" s="468">
        <v>47984</v>
      </c>
      <c r="AJ5612" s="5" t="s">
        <v>3617</v>
      </c>
      <c r="AK5612" s="5" t="s">
        <v>3620</v>
      </c>
    </row>
    <row r="5613" spans="35:37">
      <c r="AI5613" s="468">
        <v>47985</v>
      </c>
      <c r="AJ5613" s="5" t="s">
        <v>3619</v>
      </c>
      <c r="AK5613" s="5" t="s">
        <v>3622</v>
      </c>
    </row>
    <row r="5614" spans="35:37">
      <c r="AI5614" s="468">
        <v>47986</v>
      </c>
      <c r="AJ5614" s="5" t="s">
        <v>3621</v>
      </c>
      <c r="AK5614" s="5" t="s">
        <v>3623</v>
      </c>
    </row>
    <row r="5615" spans="35:37">
      <c r="AI5615" s="468">
        <v>47987</v>
      </c>
      <c r="AJ5615" s="5" t="s">
        <v>3579</v>
      </c>
      <c r="AK5615" s="5" t="s">
        <v>3625</v>
      </c>
    </row>
    <row r="5616" spans="35:37">
      <c r="AI5616" s="468">
        <v>47988</v>
      </c>
      <c r="AJ5616" s="5" t="s">
        <v>3624</v>
      </c>
      <c r="AK5616" s="5" t="s">
        <v>3627</v>
      </c>
    </row>
    <row r="5617" spans="35:37">
      <c r="AI5617" s="468">
        <v>47989</v>
      </c>
      <c r="AJ5617" s="5" t="s">
        <v>3626</v>
      </c>
      <c r="AK5617" s="5" t="s">
        <v>3622</v>
      </c>
    </row>
    <row r="5618" spans="35:37">
      <c r="AI5618" s="468">
        <v>47990</v>
      </c>
      <c r="AJ5618" s="5" t="s">
        <v>3628</v>
      </c>
      <c r="AK5618" s="5" t="s">
        <v>3623</v>
      </c>
    </row>
    <row r="5619" spans="35:37">
      <c r="AI5619" s="468">
        <v>47991</v>
      </c>
      <c r="AJ5619" s="5" t="s">
        <v>3617</v>
      </c>
      <c r="AK5619" s="5" t="s">
        <v>3625</v>
      </c>
    </row>
    <row r="5620" spans="35:37">
      <c r="AI5620" s="468">
        <v>47992</v>
      </c>
      <c r="AJ5620" s="5" t="s">
        <v>3619</v>
      </c>
      <c r="AK5620" s="5" t="s">
        <v>3627</v>
      </c>
    </row>
    <row r="5621" spans="35:37">
      <c r="AI5621" s="468">
        <v>47993</v>
      </c>
      <c r="AJ5621" s="5" t="s">
        <v>3621</v>
      </c>
      <c r="AK5621" s="5" t="s">
        <v>3618</v>
      </c>
    </row>
    <row r="5622" spans="35:37">
      <c r="AI5622" s="468">
        <v>47994</v>
      </c>
      <c r="AJ5622" s="5" t="s">
        <v>3579</v>
      </c>
      <c r="AK5622" s="5" t="s">
        <v>3620</v>
      </c>
    </row>
    <row r="5623" spans="35:37">
      <c r="AI5623" s="468">
        <v>47995</v>
      </c>
      <c r="AJ5623" s="5" t="s">
        <v>3624</v>
      </c>
      <c r="AK5623" s="5" t="s">
        <v>3622</v>
      </c>
    </row>
    <row r="5624" spans="35:37">
      <c r="AI5624" s="468">
        <v>47996</v>
      </c>
      <c r="AJ5624" s="5" t="s">
        <v>3626</v>
      </c>
      <c r="AK5624" s="5" t="s">
        <v>3623</v>
      </c>
    </row>
    <row r="5625" spans="35:37">
      <c r="AI5625" s="468">
        <v>47997</v>
      </c>
      <c r="AJ5625" s="5" t="s">
        <v>3628</v>
      </c>
      <c r="AK5625" s="5" t="s">
        <v>3625</v>
      </c>
    </row>
    <row r="5626" spans="35:37">
      <c r="AI5626" s="468">
        <v>47998</v>
      </c>
      <c r="AJ5626" s="5" t="s">
        <v>3617</v>
      </c>
      <c r="AK5626" s="5" t="s">
        <v>3627</v>
      </c>
    </row>
    <row r="5627" spans="35:37">
      <c r="AI5627" s="468">
        <v>47999</v>
      </c>
      <c r="AJ5627" s="5" t="s">
        <v>3619</v>
      </c>
      <c r="AK5627" s="5" t="s">
        <v>3618</v>
      </c>
    </row>
    <row r="5628" spans="35:37">
      <c r="AI5628" s="468">
        <v>48000</v>
      </c>
      <c r="AJ5628" s="5" t="s">
        <v>3621</v>
      </c>
      <c r="AK5628" s="5" t="s">
        <v>3620</v>
      </c>
    </row>
    <row r="5629" spans="35:37">
      <c r="AI5629" s="468">
        <v>48001</v>
      </c>
      <c r="AJ5629" s="5" t="s">
        <v>3579</v>
      </c>
      <c r="AK5629" s="5" t="s">
        <v>3622</v>
      </c>
    </row>
    <row r="5630" spans="35:37">
      <c r="AI5630" s="468">
        <v>48002</v>
      </c>
      <c r="AJ5630" s="5" t="s">
        <v>3624</v>
      </c>
      <c r="AK5630" s="5" t="s">
        <v>3623</v>
      </c>
    </row>
    <row r="5631" spans="35:37">
      <c r="AI5631" s="468">
        <v>48003</v>
      </c>
      <c r="AJ5631" s="5" t="s">
        <v>3626</v>
      </c>
      <c r="AK5631" s="5" t="s">
        <v>3625</v>
      </c>
    </row>
    <row r="5632" spans="35:37">
      <c r="AI5632" s="468">
        <v>48004</v>
      </c>
      <c r="AJ5632" s="5" t="s">
        <v>3628</v>
      </c>
      <c r="AK5632" s="5" t="s">
        <v>3627</v>
      </c>
    </row>
    <row r="5633" spans="35:37">
      <c r="AI5633" s="468">
        <v>48005</v>
      </c>
      <c r="AJ5633" s="5" t="s">
        <v>3617</v>
      </c>
      <c r="AK5633" s="5" t="s">
        <v>3618</v>
      </c>
    </row>
    <row r="5634" spans="35:37">
      <c r="AI5634" s="468">
        <v>48006</v>
      </c>
      <c r="AJ5634" s="5" t="s">
        <v>3619</v>
      </c>
      <c r="AK5634" s="5" t="s">
        <v>3620</v>
      </c>
    </row>
    <row r="5635" spans="35:37">
      <c r="AI5635" s="468">
        <v>48007</v>
      </c>
      <c r="AJ5635" s="5" t="s">
        <v>3621</v>
      </c>
      <c r="AK5635" s="5" t="s">
        <v>3622</v>
      </c>
    </row>
    <row r="5636" spans="35:37">
      <c r="AI5636" s="468">
        <v>48008</v>
      </c>
      <c r="AJ5636" s="5" t="s">
        <v>3579</v>
      </c>
      <c r="AK5636" s="5" t="s">
        <v>3623</v>
      </c>
    </row>
    <row r="5637" spans="35:37">
      <c r="AI5637" s="468">
        <v>48009</v>
      </c>
      <c r="AJ5637" s="5" t="s">
        <v>3624</v>
      </c>
      <c r="AK5637" s="5" t="s">
        <v>3625</v>
      </c>
    </row>
    <row r="5638" spans="35:37">
      <c r="AI5638" s="468">
        <v>48010</v>
      </c>
      <c r="AJ5638" s="5" t="s">
        <v>3626</v>
      </c>
      <c r="AK5638" s="5" t="s">
        <v>3627</v>
      </c>
    </row>
    <row r="5639" spans="35:37">
      <c r="AI5639" s="468">
        <v>48011</v>
      </c>
      <c r="AJ5639" s="5" t="s">
        <v>3628</v>
      </c>
      <c r="AK5639" s="5" t="s">
        <v>3618</v>
      </c>
    </row>
    <row r="5640" spans="35:37">
      <c r="AI5640" s="468">
        <v>48012</v>
      </c>
      <c r="AJ5640" s="5" t="s">
        <v>3617</v>
      </c>
      <c r="AK5640" s="5" t="s">
        <v>3620</v>
      </c>
    </row>
    <row r="5641" spans="35:37">
      <c r="AI5641" s="468">
        <v>48013</v>
      </c>
      <c r="AJ5641" s="5" t="s">
        <v>3619</v>
      </c>
      <c r="AK5641" s="5" t="s">
        <v>3622</v>
      </c>
    </row>
    <row r="5642" spans="35:37">
      <c r="AI5642" s="468">
        <v>48014</v>
      </c>
      <c r="AJ5642" s="5" t="s">
        <v>3621</v>
      </c>
      <c r="AK5642" s="5" t="s">
        <v>3623</v>
      </c>
    </row>
    <row r="5643" spans="35:37">
      <c r="AI5643" s="468">
        <v>48015</v>
      </c>
      <c r="AJ5643" s="5" t="s">
        <v>3579</v>
      </c>
      <c r="AK5643" s="5" t="s">
        <v>3625</v>
      </c>
    </row>
    <row r="5644" spans="35:37">
      <c r="AI5644" s="468">
        <v>48016</v>
      </c>
      <c r="AJ5644" s="5" t="s">
        <v>3624</v>
      </c>
      <c r="AK5644" s="5" t="s">
        <v>3627</v>
      </c>
    </row>
    <row r="5645" spans="35:37">
      <c r="AI5645" s="468">
        <v>48017</v>
      </c>
      <c r="AJ5645" s="5" t="s">
        <v>3626</v>
      </c>
      <c r="AK5645" s="5" t="s">
        <v>3618</v>
      </c>
    </row>
    <row r="5646" spans="35:37">
      <c r="AI5646" s="468">
        <v>48018</v>
      </c>
      <c r="AJ5646" s="5" t="s">
        <v>3628</v>
      </c>
      <c r="AK5646" s="5" t="s">
        <v>3620</v>
      </c>
    </row>
    <row r="5647" spans="35:37">
      <c r="AI5647" s="468">
        <v>48019</v>
      </c>
      <c r="AJ5647" s="5" t="s">
        <v>3617</v>
      </c>
      <c r="AK5647" s="5" t="s">
        <v>3623</v>
      </c>
    </row>
    <row r="5648" spans="35:37">
      <c r="AI5648" s="468">
        <v>48020</v>
      </c>
      <c r="AJ5648" s="5" t="s">
        <v>3619</v>
      </c>
      <c r="AK5648" s="5" t="s">
        <v>3625</v>
      </c>
    </row>
    <row r="5649" spans="35:37">
      <c r="AI5649" s="468">
        <v>48021</v>
      </c>
      <c r="AJ5649" s="5" t="s">
        <v>3621</v>
      </c>
      <c r="AK5649" s="5" t="s">
        <v>3627</v>
      </c>
    </row>
    <row r="5650" spans="35:37">
      <c r="AI5650" s="468">
        <v>48022</v>
      </c>
      <c r="AJ5650" s="5" t="s">
        <v>3579</v>
      </c>
      <c r="AK5650" s="5" t="s">
        <v>3618</v>
      </c>
    </row>
    <row r="5651" spans="35:37">
      <c r="AI5651" s="468">
        <v>48023</v>
      </c>
      <c r="AJ5651" s="5" t="s">
        <v>3624</v>
      </c>
      <c r="AK5651" s="5" t="s">
        <v>3620</v>
      </c>
    </row>
    <row r="5652" spans="35:37">
      <c r="AI5652" s="468">
        <v>48024</v>
      </c>
      <c r="AJ5652" s="5" t="s">
        <v>3626</v>
      </c>
      <c r="AK5652" s="5" t="s">
        <v>3622</v>
      </c>
    </row>
    <row r="5653" spans="35:37">
      <c r="AI5653" s="468">
        <v>48025</v>
      </c>
      <c r="AJ5653" s="5" t="s">
        <v>3628</v>
      </c>
      <c r="AK5653" s="5" t="s">
        <v>3623</v>
      </c>
    </row>
    <row r="5654" spans="35:37">
      <c r="AI5654" s="468">
        <v>48026</v>
      </c>
      <c r="AJ5654" s="5" t="s">
        <v>3617</v>
      </c>
      <c r="AK5654" s="5" t="s">
        <v>3625</v>
      </c>
    </row>
    <row r="5655" spans="35:37">
      <c r="AI5655" s="468">
        <v>48027</v>
      </c>
      <c r="AJ5655" s="5" t="s">
        <v>3619</v>
      </c>
      <c r="AK5655" s="5" t="s">
        <v>3627</v>
      </c>
    </row>
    <row r="5656" spans="35:37">
      <c r="AI5656" s="468">
        <v>48028</v>
      </c>
      <c r="AJ5656" s="5" t="s">
        <v>3621</v>
      </c>
      <c r="AK5656" s="5" t="s">
        <v>3618</v>
      </c>
    </row>
    <row r="5657" spans="35:37">
      <c r="AI5657" s="468">
        <v>48029</v>
      </c>
      <c r="AJ5657" s="5" t="s">
        <v>3579</v>
      </c>
      <c r="AK5657" s="5" t="s">
        <v>3620</v>
      </c>
    </row>
    <row r="5658" spans="35:37">
      <c r="AI5658" s="468">
        <v>48030</v>
      </c>
      <c r="AJ5658" s="5" t="s">
        <v>3624</v>
      </c>
      <c r="AK5658" s="5" t="s">
        <v>3622</v>
      </c>
    </row>
    <row r="5659" spans="35:37">
      <c r="AI5659" s="468">
        <v>48031</v>
      </c>
      <c r="AJ5659" s="5" t="s">
        <v>3626</v>
      </c>
      <c r="AK5659" s="5" t="s">
        <v>3623</v>
      </c>
    </row>
    <row r="5660" spans="35:37">
      <c r="AI5660" s="468">
        <v>48032</v>
      </c>
      <c r="AJ5660" s="5" t="s">
        <v>3628</v>
      </c>
      <c r="AK5660" s="5" t="s">
        <v>3625</v>
      </c>
    </row>
    <row r="5661" spans="35:37">
      <c r="AI5661" s="468">
        <v>48033</v>
      </c>
      <c r="AJ5661" s="5" t="s">
        <v>3617</v>
      </c>
      <c r="AK5661" s="5" t="s">
        <v>3627</v>
      </c>
    </row>
    <row r="5662" spans="35:37">
      <c r="AI5662" s="468">
        <v>48034</v>
      </c>
      <c r="AJ5662" s="5" t="s">
        <v>3619</v>
      </c>
      <c r="AK5662" s="5" t="s">
        <v>3618</v>
      </c>
    </row>
    <row r="5663" spans="35:37">
      <c r="AI5663" s="468">
        <v>48035</v>
      </c>
      <c r="AJ5663" s="5" t="s">
        <v>3621</v>
      </c>
      <c r="AK5663" s="5" t="s">
        <v>3620</v>
      </c>
    </row>
    <row r="5664" spans="35:37">
      <c r="AI5664" s="468">
        <v>48036</v>
      </c>
      <c r="AJ5664" s="5" t="s">
        <v>3579</v>
      </c>
      <c r="AK5664" s="5" t="s">
        <v>3622</v>
      </c>
    </row>
    <row r="5665" spans="35:37">
      <c r="AI5665" s="468">
        <v>48037</v>
      </c>
      <c r="AJ5665" s="5" t="s">
        <v>3624</v>
      </c>
      <c r="AK5665" s="5" t="s">
        <v>3623</v>
      </c>
    </row>
    <row r="5666" spans="35:37">
      <c r="AI5666" s="468">
        <v>48038</v>
      </c>
      <c r="AJ5666" s="5" t="s">
        <v>3626</v>
      </c>
      <c r="AK5666" s="5" t="s">
        <v>3625</v>
      </c>
    </row>
    <row r="5667" spans="35:37">
      <c r="AI5667" s="468">
        <v>48039</v>
      </c>
      <c r="AJ5667" s="5" t="s">
        <v>3628</v>
      </c>
      <c r="AK5667" s="5" t="s">
        <v>3627</v>
      </c>
    </row>
    <row r="5668" spans="35:37">
      <c r="AI5668" s="468">
        <v>48040</v>
      </c>
      <c r="AJ5668" s="5" t="s">
        <v>3617</v>
      </c>
      <c r="AK5668" s="5" t="s">
        <v>3618</v>
      </c>
    </row>
    <row r="5669" spans="35:37">
      <c r="AI5669" s="468">
        <v>48041</v>
      </c>
      <c r="AJ5669" s="5" t="s">
        <v>3619</v>
      </c>
      <c r="AK5669" s="5" t="s">
        <v>3620</v>
      </c>
    </row>
    <row r="5670" spans="35:37">
      <c r="AI5670" s="468">
        <v>48042</v>
      </c>
      <c r="AJ5670" s="5" t="s">
        <v>3621</v>
      </c>
      <c r="AK5670" s="5" t="s">
        <v>3622</v>
      </c>
    </row>
    <row r="5671" spans="35:37">
      <c r="AI5671" s="468">
        <v>48043</v>
      </c>
      <c r="AJ5671" s="5" t="s">
        <v>3579</v>
      </c>
      <c r="AK5671" s="5" t="s">
        <v>3623</v>
      </c>
    </row>
    <row r="5672" spans="35:37">
      <c r="AI5672" s="468">
        <v>48044</v>
      </c>
      <c r="AJ5672" s="5" t="s">
        <v>3624</v>
      </c>
      <c r="AK5672" s="5" t="s">
        <v>3625</v>
      </c>
    </row>
    <row r="5673" spans="35:37">
      <c r="AI5673" s="468">
        <v>48045</v>
      </c>
      <c r="AJ5673" s="5" t="s">
        <v>3626</v>
      </c>
      <c r="AK5673" s="5" t="s">
        <v>3627</v>
      </c>
    </row>
    <row r="5674" spans="35:37">
      <c r="AI5674" s="468">
        <v>48046</v>
      </c>
      <c r="AJ5674" s="5" t="s">
        <v>3628</v>
      </c>
      <c r="AK5674" s="5" t="s">
        <v>3618</v>
      </c>
    </row>
    <row r="5675" spans="35:37">
      <c r="AI5675" s="468">
        <v>48047</v>
      </c>
      <c r="AJ5675" s="5" t="s">
        <v>3617</v>
      </c>
      <c r="AK5675" s="5" t="s">
        <v>3620</v>
      </c>
    </row>
    <row r="5676" spans="35:37">
      <c r="AI5676" s="468">
        <v>48048</v>
      </c>
      <c r="AJ5676" s="5" t="s">
        <v>3619</v>
      </c>
      <c r="AK5676" s="5" t="s">
        <v>3625</v>
      </c>
    </row>
    <row r="5677" spans="35:37">
      <c r="AI5677" s="468">
        <v>48049</v>
      </c>
      <c r="AJ5677" s="5" t="s">
        <v>3621</v>
      </c>
      <c r="AK5677" s="5" t="s">
        <v>3627</v>
      </c>
    </row>
    <row r="5678" spans="35:37">
      <c r="AI5678" s="468">
        <v>48050</v>
      </c>
      <c r="AJ5678" s="5" t="s">
        <v>3579</v>
      </c>
      <c r="AK5678" s="5" t="s">
        <v>3618</v>
      </c>
    </row>
    <row r="5679" spans="35:37">
      <c r="AI5679" s="468">
        <v>48051</v>
      </c>
      <c r="AJ5679" s="5" t="s">
        <v>3624</v>
      </c>
      <c r="AK5679" s="5" t="s">
        <v>3620</v>
      </c>
    </row>
    <row r="5680" spans="35:37">
      <c r="AI5680" s="468">
        <v>48052</v>
      </c>
      <c r="AJ5680" s="5" t="s">
        <v>3626</v>
      </c>
      <c r="AK5680" s="5" t="s">
        <v>3622</v>
      </c>
    </row>
    <row r="5681" spans="35:37">
      <c r="AI5681" s="468">
        <v>48053</v>
      </c>
      <c r="AJ5681" s="5" t="s">
        <v>3628</v>
      </c>
      <c r="AK5681" s="5" t="s">
        <v>3623</v>
      </c>
    </row>
    <row r="5682" spans="35:37">
      <c r="AI5682" s="468">
        <v>48054</v>
      </c>
      <c r="AJ5682" s="5" t="s">
        <v>3617</v>
      </c>
      <c r="AK5682" s="5" t="s">
        <v>3625</v>
      </c>
    </row>
    <row r="5683" spans="35:37">
      <c r="AI5683" s="468">
        <v>48055</v>
      </c>
      <c r="AJ5683" s="5" t="s">
        <v>3619</v>
      </c>
      <c r="AK5683" s="5" t="s">
        <v>3627</v>
      </c>
    </row>
    <row r="5684" spans="35:37">
      <c r="AI5684" s="468">
        <v>48056</v>
      </c>
      <c r="AJ5684" s="5" t="s">
        <v>3621</v>
      </c>
      <c r="AK5684" s="5" t="s">
        <v>3618</v>
      </c>
    </row>
    <row r="5685" spans="35:37">
      <c r="AI5685" s="468">
        <v>48057</v>
      </c>
      <c r="AJ5685" s="5" t="s">
        <v>3579</v>
      </c>
      <c r="AK5685" s="5" t="s">
        <v>3620</v>
      </c>
    </row>
    <row r="5686" spans="35:37">
      <c r="AI5686" s="468">
        <v>48058</v>
      </c>
      <c r="AJ5686" s="5" t="s">
        <v>3624</v>
      </c>
      <c r="AK5686" s="5" t="s">
        <v>3622</v>
      </c>
    </row>
    <row r="5687" spans="35:37">
      <c r="AI5687" s="468">
        <v>48059</v>
      </c>
      <c r="AJ5687" s="5" t="s">
        <v>3626</v>
      </c>
      <c r="AK5687" s="5" t="s">
        <v>3623</v>
      </c>
    </row>
    <row r="5688" spans="35:37">
      <c r="AI5688" s="468">
        <v>48060</v>
      </c>
      <c r="AJ5688" s="5" t="s">
        <v>3628</v>
      </c>
      <c r="AK5688" s="5" t="s">
        <v>3625</v>
      </c>
    </row>
    <row r="5689" spans="35:37">
      <c r="AI5689" s="468">
        <v>48061</v>
      </c>
      <c r="AJ5689" s="5" t="s">
        <v>3617</v>
      </c>
      <c r="AK5689" s="5" t="s">
        <v>3627</v>
      </c>
    </row>
    <row r="5690" spans="35:37">
      <c r="AI5690" s="468">
        <v>48062</v>
      </c>
      <c r="AJ5690" s="5" t="s">
        <v>3619</v>
      </c>
      <c r="AK5690" s="5" t="s">
        <v>3618</v>
      </c>
    </row>
    <row r="5691" spans="35:37">
      <c r="AI5691" s="468">
        <v>48063</v>
      </c>
      <c r="AJ5691" s="5" t="s">
        <v>3621</v>
      </c>
      <c r="AK5691" s="5" t="s">
        <v>3620</v>
      </c>
    </row>
    <row r="5692" spans="35:37">
      <c r="AI5692" s="468">
        <v>48064</v>
      </c>
      <c r="AJ5692" s="5" t="s">
        <v>3579</v>
      </c>
      <c r="AK5692" s="5" t="s">
        <v>3622</v>
      </c>
    </row>
    <row r="5693" spans="35:37">
      <c r="AI5693" s="468">
        <v>48065</v>
      </c>
      <c r="AJ5693" s="5" t="s">
        <v>3624</v>
      </c>
      <c r="AK5693" s="5" t="s">
        <v>3623</v>
      </c>
    </row>
    <row r="5694" spans="35:37">
      <c r="AI5694" s="468">
        <v>48066</v>
      </c>
      <c r="AJ5694" s="5" t="s">
        <v>3626</v>
      </c>
      <c r="AK5694" s="5" t="s">
        <v>3625</v>
      </c>
    </row>
    <row r="5695" spans="35:37">
      <c r="AI5695" s="468">
        <v>48067</v>
      </c>
      <c r="AJ5695" s="5" t="s">
        <v>3628</v>
      </c>
      <c r="AK5695" s="5" t="s">
        <v>3627</v>
      </c>
    </row>
    <row r="5696" spans="35:37">
      <c r="AI5696" s="468">
        <v>48068</v>
      </c>
      <c r="AJ5696" s="5" t="s">
        <v>3617</v>
      </c>
      <c r="AK5696" s="5" t="s">
        <v>3618</v>
      </c>
    </row>
    <row r="5697" spans="35:37">
      <c r="AI5697" s="468">
        <v>48069</v>
      </c>
      <c r="AJ5697" s="5" t="s">
        <v>3619</v>
      </c>
      <c r="AK5697" s="5" t="s">
        <v>3620</v>
      </c>
    </row>
    <row r="5698" spans="35:37">
      <c r="AI5698" s="468">
        <v>48070</v>
      </c>
      <c r="AJ5698" s="5" t="s">
        <v>3621</v>
      </c>
      <c r="AK5698" s="5" t="s">
        <v>3622</v>
      </c>
    </row>
    <row r="5699" spans="35:37">
      <c r="AI5699" s="468">
        <v>48071</v>
      </c>
      <c r="AJ5699" s="5" t="s">
        <v>3579</v>
      </c>
      <c r="AK5699" s="5" t="s">
        <v>3623</v>
      </c>
    </row>
    <row r="5700" spans="35:37">
      <c r="AI5700" s="468">
        <v>48072</v>
      </c>
      <c r="AJ5700" s="5" t="s">
        <v>3624</v>
      </c>
      <c r="AK5700" s="5" t="s">
        <v>3625</v>
      </c>
    </row>
    <row r="5701" spans="35:37">
      <c r="AI5701" s="468">
        <v>48073</v>
      </c>
      <c r="AJ5701" s="5" t="s">
        <v>3626</v>
      </c>
      <c r="AK5701" s="5" t="s">
        <v>3627</v>
      </c>
    </row>
    <row r="5702" spans="35:37">
      <c r="AI5702" s="468">
        <v>48074</v>
      </c>
      <c r="AJ5702" s="5" t="s">
        <v>3628</v>
      </c>
      <c r="AK5702" s="5" t="s">
        <v>3618</v>
      </c>
    </row>
    <row r="5703" spans="35:37">
      <c r="AI5703" s="468">
        <v>48075</v>
      </c>
      <c r="AJ5703" s="5" t="s">
        <v>3617</v>
      </c>
      <c r="AK5703" s="5" t="s">
        <v>3620</v>
      </c>
    </row>
    <row r="5704" spans="35:37">
      <c r="AI5704" s="468">
        <v>48076</v>
      </c>
      <c r="AJ5704" s="5" t="s">
        <v>3619</v>
      </c>
      <c r="AK5704" s="5" t="s">
        <v>3622</v>
      </c>
    </row>
    <row r="5705" spans="35:37">
      <c r="AI5705" s="468">
        <v>48077</v>
      </c>
      <c r="AJ5705" s="5" t="s">
        <v>3621</v>
      </c>
      <c r="AK5705" s="5" t="s">
        <v>3623</v>
      </c>
    </row>
    <row r="5706" spans="35:37">
      <c r="AI5706" s="468">
        <v>48078</v>
      </c>
      <c r="AJ5706" s="5" t="s">
        <v>3579</v>
      </c>
      <c r="AK5706" s="5" t="s">
        <v>3627</v>
      </c>
    </row>
    <row r="5707" spans="35:37">
      <c r="AI5707" s="468">
        <v>48079</v>
      </c>
      <c r="AJ5707" s="5" t="s">
        <v>3624</v>
      </c>
      <c r="AK5707" s="5" t="s">
        <v>3618</v>
      </c>
    </row>
    <row r="5708" spans="35:37">
      <c r="AI5708" s="468">
        <v>48080</v>
      </c>
      <c r="AJ5708" s="5" t="s">
        <v>3626</v>
      </c>
      <c r="AK5708" s="5" t="s">
        <v>3620</v>
      </c>
    </row>
    <row r="5709" spans="35:37">
      <c r="AI5709" s="468">
        <v>48081</v>
      </c>
      <c r="AJ5709" s="5" t="s">
        <v>3628</v>
      </c>
      <c r="AK5709" s="5" t="s">
        <v>3622</v>
      </c>
    </row>
    <row r="5710" spans="35:37">
      <c r="AI5710" s="468">
        <v>48082</v>
      </c>
      <c r="AJ5710" s="5" t="s">
        <v>3617</v>
      </c>
      <c r="AK5710" s="5" t="s">
        <v>3623</v>
      </c>
    </row>
    <row r="5711" spans="35:37">
      <c r="AI5711" s="468">
        <v>48083</v>
      </c>
      <c r="AJ5711" s="5" t="s">
        <v>3619</v>
      </c>
      <c r="AK5711" s="5" t="s">
        <v>3625</v>
      </c>
    </row>
    <row r="5712" spans="35:37">
      <c r="AI5712" s="468">
        <v>48084</v>
      </c>
      <c r="AJ5712" s="5" t="s">
        <v>3621</v>
      </c>
      <c r="AK5712" s="5" t="s">
        <v>3627</v>
      </c>
    </row>
    <row r="5713" spans="35:37">
      <c r="AI5713" s="468">
        <v>48085</v>
      </c>
      <c r="AJ5713" s="5" t="s">
        <v>3579</v>
      </c>
      <c r="AK5713" s="5" t="s">
        <v>3618</v>
      </c>
    </row>
    <row r="5714" spans="35:37">
      <c r="AI5714" s="468">
        <v>48086</v>
      </c>
      <c r="AJ5714" s="5" t="s">
        <v>3624</v>
      </c>
      <c r="AK5714" s="5" t="s">
        <v>3620</v>
      </c>
    </row>
    <row r="5715" spans="35:37">
      <c r="AI5715" s="468">
        <v>48087</v>
      </c>
      <c r="AJ5715" s="5" t="s">
        <v>3626</v>
      </c>
      <c r="AK5715" s="5" t="s">
        <v>3622</v>
      </c>
    </row>
    <row r="5716" spans="35:37">
      <c r="AI5716" s="468">
        <v>48088</v>
      </c>
      <c r="AJ5716" s="5" t="s">
        <v>3628</v>
      </c>
      <c r="AK5716" s="5" t="s">
        <v>3623</v>
      </c>
    </row>
    <row r="5717" spans="35:37">
      <c r="AI5717" s="468">
        <v>48089</v>
      </c>
      <c r="AJ5717" s="5" t="s">
        <v>3617</v>
      </c>
      <c r="AK5717" s="5" t="s">
        <v>3625</v>
      </c>
    </row>
    <row r="5718" spans="35:37">
      <c r="AI5718" s="468">
        <v>48090</v>
      </c>
      <c r="AJ5718" s="5" t="s">
        <v>3619</v>
      </c>
      <c r="AK5718" s="5" t="s">
        <v>3627</v>
      </c>
    </row>
    <row r="5719" spans="35:37">
      <c r="AI5719" s="468">
        <v>48091</v>
      </c>
      <c r="AJ5719" s="5" t="s">
        <v>3621</v>
      </c>
      <c r="AK5719" s="5" t="s">
        <v>3618</v>
      </c>
    </row>
    <row r="5720" spans="35:37">
      <c r="AI5720" s="468">
        <v>48092</v>
      </c>
      <c r="AJ5720" s="5" t="s">
        <v>3579</v>
      </c>
      <c r="AK5720" s="5" t="s">
        <v>3620</v>
      </c>
    </row>
    <row r="5721" spans="35:37">
      <c r="AI5721" s="468">
        <v>48093</v>
      </c>
      <c r="AJ5721" s="5" t="s">
        <v>3624</v>
      </c>
      <c r="AK5721" s="5" t="s">
        <v>3622</v>
      </c>
    </row>
    <row r="5722" spans="35:37">
      <c r="AI5722" s="468">
        <v>48094</v>
      </c>
      <c r="AJ5722" s="5" t="s">
        <v>3626</v>
      </c>
      <c r="AK5722" s="5" t="s">
        <v>3623</v>
      </c>
    </row>
    <row r="5723" spans="35:37">
      <c r="AI5723" s="468">
        <v>48095</v>
      </c>
      <c r="AJ5723" s="5" t="s">
        <v>3628</v>
      </c>
      <c r="AK5723" s="5" t="s">
        <v>3625</v>
      </c>
    </row>
    <row r="5724" spans="35:37">
      <c r="AI5724" s="468">
        <v>48096</v>
      </c>
      <c r="AJ5724" s="5" t="s">
        <v>3617</v>
      </c>
      <c r="AK5724" s="5" t="s">
        <v>3627</v>
      </c>
    </row>
    <row r="5725" spans="35:37">
      <c r="AI5725" s="468">
        <v>48097</v>
      </c>
      <c r="AJ5725" s="5" t="s">
        <v>3619</v>
      </c>
      <c r="AK5725" s="5" t="s">
        <v>3618</v>
      </c>
    </row>
    <row r="5726" spans="35:37">
      <c r="AI5726" s="468">
        <v>48098</v>
      </c>
      <c r="AJ5726" s="5" t="s">
        <v>3621</v>
      </c>
      <c r="AK5726" s="5" t="s">
        <v>3620</v>
      </c>
    </row>
    <row r="5727" spans="35:37">
      <c r="AI5727" s="468">
        <v>48099</v>
      </c>
      <c r="AJ5727" s="5" t="s">
        <v>3579</v>
      </c>
      <c r="AK5727" s="5" t="s">
        <v>3622</v>
      </c>
    </row>
    <row r="5728" spans="35:37">
      <c r="AI5728" s="468">
        <v>48100</v>
      </c>
      <c r="AJ5728" s="5" t="s">
        <v>3624</v>
      </c>
      <c r="AK5728" s="5" t="s">
        <v>3623</v>
      </c>
    </row>
    <row r="5729" spans="35:37">
      <c r="AI5729" s="468">
        <v>48101</v>
      </c>
      <c r="AJ5729" s="5" t="s">
        <v>3626</v>
      </c>
      <c r="AK5729" s="5" t="s">
        <v>3625</v>
      </c>
    </row>
    <row r="5730" spans="35:37">
      <c r="AI5730" s="468">
        <v>48102</v>
      </c>
      <c r="AJ5730" s="5" t="s">
        <v>3628</v>
      </c>
      <c r="AK5730" s="5" t="s">
        <v>3627</v>
      </c>
    </row>
    <row r="5731" spans="35:37">
      <c r="AI5731" s="468">
        <v>48103</v>
      </c>
      <c r="AJ5731" s="5" t="s">
        <v>3617</v>
      </c>
      <c r="AK5731" s="5" t="s">
        <v>3618</v>
      </c>
    </row>
    <row r="5732" spans="35:37">
      <c r="AI5732" s="468">
        <v>48104</v>
      </c>
      <c r="AJ5732" s="5" t="s">
        <v>3619</v>
      </c>
      <c r="AK5732" s="5" t="s">
        <v>3620</v>
      </c>
    </row>
    <row r="5733" spans="35:37">
      <c r="AI5733" s="468">
        <v>48105</v>
      </c>
      <c r="AJ5733" s="5" t="s">
        <v>3621</v>
      </c>
      <c r="AK5733" s="5" t="s">
        <v>3622</v>
      </c>
    </row>
    <row r="5734" spans="35:37">
      <c r="AI5734" s="468">
        <v>48106</v>
      </c>
      <c r="AJ5734" s="5" t="s">
        <v>3579</v>
      </c>
      <c r="AK5734" s="5" t="s">
        <v>3623</v>
      </c>
    </row>
    <row r="5735" spans="35:37">
      <c r="AI5735" s="468">
        <v>48107</v>
      </c>
      <c r="AJ5735" s="5" t="s">
        <v>3624</v>
      </c>
      <c r="AK5735" s="5" t="s">
        <v>3625</v>
      </c>
    </row>
    <row r="5736" spans="35:37">
      <c r="AI5736" s="468">
        <v>48108</v>
      </c>
      <c r="AJ5736" s="5" t="s">
        <v>3626</v>
      </c>
      <c r="AK5736" s="5" t="s">
        <v>3618</v>
      </c>
    </row>
    <row r="5737" spans="35:37">
      <c r="AI5737" s="468">
        <v>48109</v>
      </c>
      <c r="AJ5737" s="5" t="s">
        <v>3628</v>
      </c>
      <c r="AK5737" s="5" t="s">
        <v>3620</v>
      </c>
    </row>
    <row r="5738" spans="35:37">
      <c r="AI5738" s="468">
        <v>48110</v>
      </c>
      <c r="AJ5738" s="5" t="s">
        <v>3617</v>
      </c>
      <c r="AK5738" s="5" t="s">
        <v>3622</v>
      </c>
    </row>
    <row r="5739" spans="35:37">
      <c r="AI5739" s="468">
        <v>48111</v>
      </c>
      <c r="AJ5739" s="5" t="s">
        <v>3619</v>
      </c>
      <c r="AK5739" s="5" t="s">
        <v>3623</v>
      </c>
    </row>
    <row r="5740" spans="35:37">
      <c r="AI5740" s="468">
        <v>48112</v>
      </c>
      <c r="AJ5740" s="5" t="s">
        <v>3621</v>
      </c>
      <c r="AK5740" s="5" t="s">
        <v>3625</v>
      </c>
    </row>
    <row r="5741" spans="35:37">
      <c r="AI5741" s="468">
        <v>48113</v>
      </c>
      <c r="AJ5741" s="5" t="s">
        <v>3579</v>
      </c>
      <c r="AK5741" s="5" t="s">
        <v>3627</v>
      </c>
    </row>
    <row r="5742" spans="35:37">
      <c r="AI5742" s="468">
        <v>48114</v>
      </c>
      <c r="AJ5742" s="5" t="s">
        <v>3624</v>
      </c>
      <c r="AK5742" s="5" t="s">
        <v>3618</v>
      </c>
    </row>
    <row r="5743" spans="35:37">
      <c r="AI5743" s="468">
        <v>48115</v>
      </c>
      <c r="AJ5743" s="5" t="s">
        <v>3626</v>
      </c>
      <c r="AK5743" s="5" t="s">
        <v>3620</v>
      </c>
    </row>
    <row r="5744" spans="35:37">
      <c r="AI5744" s="468">
        <v>48116</v>
      </c>
      <c r="AJ5744" s="5" t="s">
        <v>3628</v>
      </c>
      <c r="AK5744" s="5" t="s">
        <v>3622</v>
      </c>
    </row>
    <row r="5745" spans="35:37">
      <c r="AI5745" s="468">
        <v>48117</v>
      </c>
      <c r="AJ5745" s="5" t="s">
        <v>3617</v>
      </c>
      <c r="AK5745" s="5" t="s">
        <v>3623</v>
      </c>
    </row>
    <row r="5746" spans="35:37">
      <c r="AI5746" s="468">
        <v>48118</v>
      </c>
      <c r="AJ5746" s="5" t="s">
        <v>3619</v>
      </c>
      <c r="AK5746" s="5" t="s">
        <v>3625</v>
      </c>
    </row>
    <row r="5747" spans="35:37">
      <c r="AI5747" s="468">
        <v>48119</v>
      </c>
      <c r="AJ5747" s="5" t="s">
        <v>3621</v>
      </c>
      <c r="AK5747" s="5" t="s">
        <v>3627</v>
      </c>
    </row>
    <row r="5748" spans="35:37">
      <c r="AI5748" s="468">
        <v>48120</v>
      </c>
      <c r="AJ5748" s="5" t="s">
        <v>3579</v>
      </c>
      <c r="AK5748" s="5" t="s">
        <v>3618</v>
      </c>
    </row>
    <row r="5749" spans="35:37">
      <c r="AI5749" s="468">
        <v>48121</v>
      </c>
      <c r="AJ5749" s="5" t="s">
        <v>3624</v>
      </c>
      <c r="AK5749" s="5" t="s">
        <v>3620</v>
      </c>
    </row>
    <row r="5750" spans="35:37">
      <c r="AI5750" s="468">
        <v>48122</v>
      </c>
      <c r="AJ5750" s="5" t="s">
        <v>3626</v>
      </c>
      <c r="AK5750" s="5" t="s">
        <v>3622</v>
      </c>
    </row>
    <row r="5751" spans="35:37">
      <c r="AI5751" s="468">
        <v>48123</v>
      </c>
      <c r="AJ5751" s="5" t="s">
        <v>3628</v>
      </c>
      <c r="AK5751" s="5" t="s">
        <v>3623</v>
      </c>
    </row>
    <row r="5752" spans="35:37">
      <c r="AI5752" s="468">
        <v>48124</v>
      </c>
      <c r="AJ5752" s="5" t="s">
        <v>3617</v>
      </c>
      <c r="AK5752" s="5" t="s">
        <v>3625</v>
      </c>
    </row>
    <row r="5753" spans="35:37">
      <c r="AI5753" s="468">
        <v>48125</v>
      </c>
      <c r="AJ5753" s="5" t="s">
        <v>3619</v>
      </c>
      <c r="AK5753" s="5" t="s">
        <v>3627</v>
      </c>
    </row>
    <row r="5754" spans="35:37">
      <c r="AI5754" s="468">
        <v>48126</v>
      </c>
      <c r="AJ5754" s="5" t="s">
        <v>3621</v>
      </c>
      <c r="AK5754" s="5" t="s">
        <v>3618</v>
      </c>
    </row>
    <row r="5755" spans="35:37">
      <c r="AI5755" s="468">
        <v>48127</v>
      </c>
      <c r="AJ5755" s="5" t="s">
        <v>3579</v>
      </c>
      <c r="AK5755" s="5" t="s">
        <v>3620</v>
      </c>
    </row>
    <row r="5756" spans="35:37">
      <c r="AI5756" s="468">
        <v>48128</v>
      </c>
      <c r="AJ5756" s="5" t="s">
        <v>3624</v>
      </c>
      <c r="AK5756" s="5" t="s">
        <v>3622</v>
      </c>
    </row>
    <row r="5757" spans="35:37">
      <c r="AI5757" s="468">
        <v>48129</v>
      </c>
      <c r="AJ5757" s="5" t="s">
        <v>3626</v>
      </c>
      <c r="AK5757" s="5" t="s">
        <v>3623</v>
      </c>
    </row>
    <row r="5758" spans="35:37">
      <c r="AI5758" s="468">
        <v>48130</v>
      </c>
      <c r="AJ5758" s="5" t="s">
        <v>3628</v>
      </c>
      <c r="AK5758" s="5" t="s">
        <v>3625</v>
      </c>
    </row>
    <row r="5759" spans="35:37">
      <c r="AI5759" s="468">
        <v>48131</v>
      </c>
      <c r="AJ5759" s="5" t="s">
        <v>3617</v>
      </c>
      <c r="AK5759" s="5" t="s">
        <v>3627</v>
      </c>
    </row>
    <row r="5760" spans="35:37">
      <c r="AI5760" s="468">
        <v>48132</v>
      </c>
      <c r="AJ5760" s="5" t="s">
        <v>3619</v>
      </c>
      <c r="AK5760" s="5" t="s">
        <v>3618</v>
      </c>
    </row>
    <row r="5761" spans="35:37">
      <c r="AI5761" s="468">
        <v>48133</v>
      </c>
      <c r="AJ5761" s="5" t="s">
        <v>3621</v>
      </c>
      <c r="AK5761" s="5" t="s">
        <v>3620</v>
      </c>
    </row>
    <row r="5762" spans="35:37">
      <c r="AI5762" s="468">
        <v>48134</v>
      </c>
      <c r="AJ5762" s="5" t="s">
        <v>3579</v>
      </c>
      <c r="AK5762" s="5" t="s">
        <v>3622</v>
      </c>
    </row>
    <row r="5763" spans="35:37">
      <c r="AI5763" s="468">
        <v>48135</v>
      </c>
      <c r="AJ5763" s="5" t="s">
        <v>3624</v>
      </c>
      <c r="AK5763" s="5" t="s">
        <v>3623</v>
      </c>
    </row>
    <row r="5764" spans="35:37">
      <c r="AI5764" s="468">
        <v>48136</v>
      </c>
      <c r="AJ5764" s="5" t="s">
        <v>3626</v>
      </c>
      <c r="AK5764" s="5" t="s">
        <v>3625</v>
      </c>
    </row>
    <row r="5765" spans="35:37">
      <c r="AI5765" s="468">
        <v>48137</v>
      </c>
      <c r="AJ5765" s="5" t="s">
        <v>3628</v>
      </c>
      <c r="AK5765" s="5" t="s">
        <v>3620</v>
      </c>
    </row>
    <row r="5766" spans="35:37">
      <c r="AI5766" s="468">
        <v>48138</v>
      </c>
      <c r="AJ5766" s="5" t="s">
        <v>3617</v>
      </c>
      <c r="AK5766" s="5" t="s">
        <v>3622</v>
      </c>
    </row>
    <row r="5767" spans="35:37">
      <c r="AI5767" s="468">
        <v>48139</v>
      </c>
      <c r="AJ5767" s="5" t="s">
        <v>3619</v>
      </c>
      <c r="AK5767" s="5" t="s">
        <v>3623</v>
      </c>
    </row>
    <row r="5768" spans="35:37">
      <c r="AI5768" s="468">
        <v>48140</v>
      </c>
      <c r="AJ5768" s="5" t="s">
        <v>3621</v>
      </c>
      <c r="AK5768" s="5" t="s">
        <v>3625</v>
      </c>
    </row>
    <row r="5769" spans="35:37">
      <c r="AI5769" s="468">
        <v>48141</v>
      </c>
      <c r="AJ5769" s="5" t="s">
        <v>3579</v>
      </c>
      <c r="AK5769" s="5" t="s">
        <v>3627</v>
      </c>
    </row>
    <row r="5770" spans="35:37">
      <c r="AI5770" s="468">
        <v>48142</v>
      </c>
      <c r="AJ5770" s="5" t="s">
        <v>3624</v>
      </c>
      <c r="AK5770" s="5" t="s">
        <v>3618</v>
      </c>
    </row>
    <row r="5771" spans="35:37">
      <c r="AI5771" s="468">
        <v>48143</v>
      </c>
      <c r="AJ5771" s="5" t="s">
        <v>3626</v>
      </c>
      <c r="AK5771" s="5" t="s">
        <v>3620</v>
      </c>
    </row>
    <row r="5772" spans="35:37">
      <c r="AI5772" s="468">
        <v>48144</v>
      </c>
      <c r="AJ5772" s="5" t="s">
        <v>3628</v>
      </c>
      <c r="AK5772" s="5" t="s">
        <v>3622</v>
      </c>
    </row>
    <row r="5773" spans="35:37">
      <c r="AI5773" s="468">
        <v>48145</v>
      </c>
      <c r="AJ5773" s="5" t="s">
        <v>3617</v>
      </c>
      <c r="AK5773" s="5" t="s">
        <v>3623</v>
      </c>
    </row>
    <row r="5774" spans="35:37">
      <c r="AI5774" s="468">
        <v>48146</v>
      </c>
      <c r="AJ5774" s="5" t="s">
        <v>3619</v>
      </c>
      <c r="AK5774" s="5" t="s">
        <v>3625</v>
      </c>
    </row>
    <row r="5775" spans="35:37">
      <c r="AI5775" s="468">
        <v>48147</v>
      </c>
      <c r="AJ5775" s="5" t="s">
        <v>3621</v>
      </c>
      <c r="AK5775" s="5" t="s">
        <v>3627</v>
      </c>
    </row>
    <row r="5776" spans="35:37">
      <c r="AI5776" s="468">
        <v>48148</v>
      </c>
      <c r="AJ5776" s="5" t="s">
        <v>3579</v>
      </c>
      <c r="AK5776" s="5" t="s">
        <v>3618</v>
      </c>
    </row>
    <row r="5777" spans="35:37">
      <c r="AI5777" s="468">
        <v>48149</v>
      </c>
      <c r="AJ5777" s="5" t="s">
        <v>3624</v>
      </c>
      <c r="AK5777" s="5" t="s">
        <v>3620</v>
      </c>
    </row>
    <row r="5778" spans="35:37">
      <c r="AI5778" s="468">
        <v>48150</v>
      </c>
      <c r="AJ5778" s="5" t="s">
        <v>3626</v>
      </c>
      <c r="AK5778" s="5" t="s">
        <v>3622</v>
      </c>
    </row>
    <row r="5779" spans="35:37">
      <c r="AI5779" s="468">
        <v>48151</v>
      </c>
      <c r="AJ5779" s="5" t="s">
        <v>3628</v>
      </c>
      <c r="AK5779" s="5" t="s">
        <v>3623</v>
      </c>
    </row>
    <row r="5780" spans="35:37">
      <c r="AI5780" s="468">
        <v>48152</v>
      </c>
      <c r="AJ5780" s="5" t="s">
        <v>3617</v>
      </c>
      <c r="AK5780" s="5" t="s">
        <v>3625</v>
      </c>
    </row>
    <row r="5781" spans="35:37">
      <c r="AI5781" s="468">
        <v>48153</v>
      </c>
      <c r="AJ5781" s="5" t="s">
        <v>3619</v>
      </c>
      <c r="AK5781" s="5" t="s">
        <v>3627</v>
      </c>
    </row>
    <row r="5782" spans="35:37">
      <c r="AI5782" s="468">
        <v>48154</v>
      </c>
      <c r="AJ5782" s="5" t="s">
        <v>3621</v>
      </c>
      <c r="AK5782" s="5" t="s">
        <v>3618</v>
      </c>
    </row>
    <row r="5783" spans="35:37">
      <c r="AI5783" s="468">
        <v>48155</v>
      </c>
      <c r="AJ5783" s="5" t="s">
        <v>3579</v>
      </c>
      <c r="AK5783" s="5" t="s">
        <v>3620</v>
      </c>
    </row>
    <row r="5784" spans="35:37">
      <c r="AI5784" s="468">
        <v>48156</v>
      </c>
      <c r="AJ5784" s="5" t="s">
        <v>3624</v>
      </c>
      <c r="AK5784" s="5" t="s">
        <v>3622</v>
      </c>
    </row>
    <row r="5785" spans="35:37">
      <c r="AI5785" s="468">
        <v>48157</v>
      </c>
      <c r="AJ5785" s="5" t="s">
        <v>3626</v>
      </c>
      <c r="AK5785" s="5" t="s">
        <v>3623</v>
      </c>
    </row>
    <row r="5786" spans="35:37">
      <c r="AI5786" s="468">
        <v>48158</v>
      </c>
      <c r="AJ5786" s="5" t="s">
        <v>3628</v>
      </c>
      <c r="AK5786" s="5" t="s">
        <v>3625</v>
      </c>
    </row>
    <row r="5787" spans="35:37">
      <c r="AI5787" s="468">
        <v>48159</v>
      </c>
      <c r="AJ5787" s="5" t="s">
        <v>3617</v>
      </c>
      <c r="AK5787" s="5" t="s">
        <v>3627</v>
      </c>
    </row>
    <row r="5788" spans="35:37">
      <c r="AI5788" s="468">
        <v>48160</v>
      </c>
      <c r="AJ5788" s="5" t="s">
        <v>3619</v>
      </c>
      <c r="AK5788" s="5" t="s">
        <v>3618</v>
      </c>
    </row>
    <row r="5789" spans="35:37">
      <c r="AI5789" s="468">
        <v>48161</v>
      </c>
      <c r="AJ5789" s="5" t="s">
        <v>3621</v>
      </c>
      <c r="AK5789" s="5" t="s">
        <v>3620</v>
      </c>
    </row>
    <row r="5790" spans="35:37">
      <c r="AI5790" s="468">
        <v>48162</v>
      </c>
      <c r="AJ5790" s="5" t="s">
        <v>3579</v>
      </c>
      <c r="AK5790" s="5" t="s">
        <v>3622</v>
      </c>
    </row>
    <row r="5791" spans="35:37">
      <c r="AI5791" s="468">
        <v>48163</v>
      </c>
      <c r="AJ5791" s="5" t="s">
        <v>3624</v>
      </c>
      <c r="AK5791" s="5" t="s">
        <v>3623</v>
      </c>
    </row>
    <row r="5792" spans="35:37">
      <c r="AI5792" s="468">
        <v>48164</v>
      </c>
      <c r="AJ5792" s="5" t="s">
        <v>3626</v>
      </c>
      <c r="AK5792" s="5" t="s">
        <v>3625</v>
      </c>
    </row>
    <row r="5793" spans="35:37">
      <c r="AI5793" s="468">
        <v>48165</v>
      </c>
      <c r="AJ5793" s="5" t="s">
        <v>3628</v>
      </c>
      <c r="AK5793" s="5" t="s">
        <v>3627</v>
      </c>
    </row>
    <row r="5794" spans="35:37">
      <c r="AI5794" s="468">
        <v>48166</v>
      </c>
      <c r="AJ5794" s="5" t="s">
        <v>3617</v>
      </c>
      <c r="AK5794" s="5" t="s">
        <v>3618</v>
      </c>
    </row>
    <row r="5795" spans="35:37">
      <c r="AI5795" s="468">
        <v>48167</v>
      </c>
      <c r="AJ5795" s="5" t="s">
        <v>3619</v>
      </c>
      <c r="AK5795" s="5" t="s">
        <v>3622</v>
      </c>
    </row>
    <row r="5796" spans="35:37">
      <c r="AI5796" s="468">
        <v>48168</v>
      </c>
      <c r="AJ5796" s="5" t="s">
        <v>3621</v>
      </c>
      <c r="AK5796" s="5" t="s">
        <v>3623</v>
      </c>
    </row>
    <row r="5797" spans="35:37">
      <c r="AI5797" s="468">
        <v>48169</v>
      </c>
      <c r="AJ5797" s="5" t="s">
        <v>3579</v>
      </c>
      <c r="AK5797" s="5" t="s">
        <v>3625</v>
      </c>
    </row>
    <row r="5798" spans="35:37">
      <c r="AI5798" s="468">
        <v>48170</v>
      </c>
      <c r="AJ5798" s="5" t="s">
        <v>3624</v>
      </c>
      <c r="AK5798" s="5" t="s">
        <v>3627</v>
      </c>
    </row>
    <row r="5799" spans="35:37">
      <c r="AI5799" s="468">
        <v>48171</v>
      </c>
      <c r="AJ5799" s="5" t="s">
        <v>3626</v>
      </c>
      <c r="AK5799" s="5" t="s">
        <v>3618</v>
      </c>
    </row>
    <row r="5800" spans="35:37">
      <c r="AI5800" s="468">
        <v>48172</v>
      </c>
      <c r="AJ5800" s="5" t="s">
        <v>3628</v>
      </c>
      <c r="AK5800" s="5" t="s">
        <v>3620</v>
      </c>
    </row>
    <row r="5801" spans="35:37">
      <c r="AI5801" s="468">
        <v>48173</v>
      </c>
      <c r="AJ5801" s="5" t="s">
        <v>3617</v>
      </c>
      <c r="AK5801" s="5" t="s">
        <v>3622</v>
      </c>
    </row>
    <row r="5802" spans="35:37">
      <c r="AI5802" s="468">
        <v>48174</v>
      </c>
      <c r="AJ5802" s="5" t="s">
        <v>3619</v>
      </c>
      <c r="AK5802" s="5" t="s">
        <v>3623</v>
      </c>
    </row>
    <row r="5803" spans="35:37">
      <c r="AI5803" s="468">
        <v>48175</v>
      </c>
      <c r="AJ5803" s="5" t="s">
        <v>3621</v>
      </c>
      <c r="AK5803" s="5" t="s">
        <v>3625</v>
      </c>
    </row>
    <row r="5804" spans="35:37">
      <c r="AI5804" s="468">
        <v>48176</v>
      </c>
      <c r="AJ5804" s="5" t="s">
        <v>3579</v>
      </c>
      <c r="AK5804" s="5" t="s">
        <v>3627</v>
      </c>
    </row>
    <row r="5805" spans="35:37">
      <c r="AI5805" s="468">
        <v>48177</v>
      </c>
      <c r="AJ5805" s="5" t="s">
        <v>3624</v>
      </c>
      <c r="AK5805" s="5" t="s">
        <v>3618</v>
      </c>
    </row>
    <row r="5806" spans="35:37">
      <c r="AI5806" s="468">
        <v>48178</v>
      </c>
      <c r="AJ5806" s="5" t="s">
        <v>3626</v>
      </c>
      <c r="AK5806" s="5" t="s">
        <v>3620</v>
      </c>
    </row>
    <row r="5807" spans="35:37">
      <c r="AI5807" s="468">
        <v>48179</v>
      </c>
      <c r="AJ5807" s="5" t="s">
        <v>3628</v>
      </c>
      <c r="AK5807" s="5" t="s">
        <v>3622</v>
      </c>
    </row>
    <row r="5808" spans="35:37">
      <c r="AI5808" s="468">
        <v>48180</v>
      </c>
      <c r="AJ5808" s="5" t="s">
        <v>3617</v>
      </c>
      <c r="AK5808" s="5" t="s">
        <v>3623</v>
      </c>
    </row>
    <row r="5809" spans="35:37">
      <c r="AI5809" s="468">
        <v>48181</v>
      </c>
      <c r="AJ5809" s="5" t="s">
        <v>3619</v>
      </c>
      <c r="AK5809" s="5" t="s">
        <v>3625</v>
      </c>
    </row>
    <row r="5810" spans="35:37">
      <c r="AI5810" s="468">
        <v>48182</v>
      </c>
      <c r="AJ5810" s="5" t="s">
        <v>3621</v>
      </c>
      <c r="AK5810" s="5" t="s">
        <v>3627</v>
      </c>
    </row>
    <row r="5811" spans="35:37">
      <c r="AI5811" s="468">
        <v>48183</v>
      </c>
      <c r="AJ5811" s="5" t="s">
        <v>3579</v>
      </c>
      <c r="AK5811" s="5" t="s">
        <v>3618</v>
      </c>
    </row>
    <row r="5812" spans="35:37">
      <c r="AI5812" s="468">
        <v>48184</v>
      </c>
      <c r="AJ5812" s="5" t="s">
        <v>3624</v>
      </c>
      <c r="AK5812" s="5" t="s">
        <v>3620</v>
      </c>
    </row>
    <row r="5813" spans="35:37">
      <c r="AI5813" s="468">
        <v>48185</v>
      </c>
      <c r="AJ5813" s="5" t="s">
        <v>3626</v>
      </c>
      <c r="AK5813" s="5" t="s">
        <v>3622</v>
      </c>
    </row>
    <row r="5814" spans="35:37">
      <c r="AI5814" s="468">
        <v>48186</v>
      </c>
      <c r="AJ5814" s="5" t="s">
        <v>3628</v>
      </c>
      <c r="AK5814" s="5" t="s">
        <v>3623</v>
      </c>
    </row>
    <row r="5815" spans="35:37">
      <c r="AI5815" s="468">
        <v>48187</v>
      </c>
      <c r="AJ5815" s="5" t="s">
        <v>3617</v>
      </c>
      <c r="AK5815" s="5" t="s">
        <v>3625</v>
      </c>
    </row>
    <row r="5816" spans="35:37">
      <c r="AI5816" s="468">
        <v>48188</v>
      </c>
      <c r="AJ5816" s="5" t="s">
        <v>3619</v>
      </c>
      <c r="AK5816" s="5" t="s">
        <v>3627</v>
      </c>
    </row>
    <row r="5817" spans="35:37">
      <c r="AI5817" s="468">
        <v>48189</v>
      </c>
      <c r="AJ5817" s="5" t="s">
        <v>3621</v>
      </c>
      <c r="AK5817" s="5" t="s">
        <v>3618</v>
      </c>
    </row>
    <row r="5818" spans="35:37">
      <c r="AI5818" s="468">
        <v>48190</v>
      </c>
      <c r="AJ5818" s="5" t="s">
        <v>3579</v>
      </c>
      <c r="AK5818" s="5" t="s">
        <v>3620</v>
      </c>
    </row>
    <row r="5819" spans="35:37">
      <c r="AI5819" s="468">
        <v>48191</v>
      </c>
      <c r="AJ5819" s="5" t="s">
        <v>3624</v>
      </c>
      <c r="AK5819" s="5" t="s">
        <v>3622</v>
      </c>
    </row>
    <row r="5820" spans="35:37">
      <c r="AI5820" s="468">
        <v>48192</v>
      </c>
      <c r="AJ5820" s="5" t="s">
        <v>3626</v>
      </c>
      <c r="AK5820" s="5" t="s">
        <v>3623</v>
      </c>
    </row>
    <row r="5821" spans="35:37">
      <c r="AI5821" s="468">
        <v>48193</v>
      </c>
      <c r="AJ5821" s="5" t="s">
        <v>3628</v>
      </c>
      <c r="AK5821" s="5" t="s">
        <v>3625</v>
      </c>
    </row>
    <row r="5822" spans="35:37">
      <c r="AI5822" s="468">
        <v>48194</v>
      </c>
      <c r="AJ5822" s="5" t="s">
        <v>3617</v>
      </c>
      <c r="AK5822" s="5" t="s">
        <v>3627</v>
      </c>
    </row>
    <row r="5823" spans="35:37">
      <c r="AI5823" s="468">
        <v>48195</v>
      </c>
      <c r="AJ5823" s="5" t="s">
        <v>3619</v>
      </c>
      <c r="AK5823" s="5" t="s">
        <v>3618</v>
      </c>
    </row>
    <row r="5824" spans="35:37">
      <c r="AI5824" s="468">
        <v>48196</v>
      </c>
      <c r="AJ5824" s="5" t="s">
        <v>3621</v>
      </c>
      <c r="AK5824" s="5" t="s">
        <v>3623</v>
      </c>
    </row>
    <row r="5825" spans="35:37">
      <c r="AI5825" s="468">
        <v>48197</v>
      </c>
      <c r="AJ5825" s="5" t="s">
        <v>3579</v>
      </c>
      <c r="AK5825" s="5" t="s">
        <v>3625</v>
      </c>
    </row>
    <row r="5826" spans="35:37">
      <c r="AI5826" s="468">
        <v>48198</v>
      </c>
      <c r="AJ5826" s="5" t="s">
        <v>3624</v>
      </c>
      <c r="AK5826" s="5" t="s">
        <v>3627</v>
      </c>
    </row>
    <row r="5827" spans="35:37">
      <c r="AI5827" s="468">
        <v>48199</v>
      </c>
      <c r="AJ5827" s="5" t="s">
        <v>3626</v>
      </c>
      <c r="AK5827" s="5" t="s">
        <v>3618</v>
      </c>
    </row>
    <row r="5828" spans="35:37">
      <c r="AI5828" s="468">
        <v>48200</v>
      </c>
      <c r="AJ5828" s="5" t="s">
        <v>3628</v>
      </c>
      <c r="AK5828" s="5" t="s">
        <v>3620</v>
      </c>
    </row>
    <row r="5829" spans="35:37">
      <c r="AI5829" s="468">
        <v>48201</v>
      </c>
      <c r="AJ5829" s="5" t="s">
        <v>3617</v>
      </c>
      <c r="AK5829" s="5" t="s">
        <v>3622</v>
      </c>
    </row>
    <row r="5830" spans="35:37">
      <c r="AI5830" s="468">
        <v>48202</v>
      </c>
      <c r="AJ5830" s="5" t="s">
        <v>3619</v>
      </c>
      <c r="AK5830" s="5" t="s">
        <v>3623</v>
      </c>
    </row>
    <row r="5831" spans="35:37">
      <c r="AI5831" s="468">
        <v>48203</v>
      </c>
      <c r="AJ5831" s="5" t="s">
        <v>3621</v>
      </c>
      <c r="AK5831" s="5" t="s">
        <v>3625</v>
      </c>
    </row>
    <row r="5832" spans="35:37">
      <c r="AI5832" s="468">
        <v>48204</v>
      </c>
      <c r="AJ5832" s="5" t="s">
        <v>3579</v>
      </c>
      <c r="AK5832" s="5" t="s">
        <v>3627</v>
      </c>
    </row>
    <row r="5833" spans="35:37">
      <c r="AI5833" s="468">
        <v>48205</v>
      </c>
      <c r="AJ5833" s="5" t="s">
        <v>3624</v>
      </c>
      <c r="AK5833" s="5" t="s">
        <v>3618</v>
      </c>
    </row>
    <row r="5834" spans="35:37">
      <c r="AI5834" s="468">
        <v>48206</v>
      </c>
      <c r="AJ5834" s="5" t="s">
        <v>3626</v>
      </c>
      <c r="AK5834" s="5" t="s">
        <v>3620</v>
      </c>
    </row>
    <row r="5835" spans="35:37">
      <c r="AI5835" s="468">
        <v>48207</v>
      </c>
      <c r="AJ5835" s="5" t="s">
        <v>3628</v>
      </c>
      <c r="AK5835" s="5" t="s">
        <v>3622</v>
      </c>
    </row>
    <row r="5836" spans="35:37">
      <c r="AI5836" s="468">
        <v>48208</v>
      </c>
      <c r="AJ5836" s="5" t="s">
        <v>3617</v>
      </c>
      <c r="AK5836" s="5" t="s">
        <v>3623</v>
      </c>
    </row>
    <row r="5837" spans="35:37">
      <c r="AI5837" s="468">
        <v>48209</v>
      </c>
      <c r="AJ5837" s="5" t="s">
        <v>3619</v>
      </c>
      <c r="AK5837" s="5" t="s">
        <v>3625</v>
      </c>
    </row>
    <row r="5838" spans="35:37">
      <c r="AI5838" s="468">
        <v>48210</v>
      </c>
      <c r="AJ5838" s="5" t="s">
        <v>3621</v>
      </c>
      <c r="AK5838" s="5" t="s">
        <v>3627</v>
      </c>
    </row>
    <row r="5839" spans="35:37">
      <c r="AI5839" s="468">
        <v>48211</v>
      </c>
      <c r="AJ5839" s="5" t="s">
        <v>3579</v>
      </c>
      <c r="AK5839" s="5" t="s">
        <v>3618</v>
      </c>
    </row>
    <row r="5840" spans="35:37">
      <c r="AI5840" s="468">
        <v>48212</v>
      </c>
      <c r="AJ5840" s="5" t="s">
        <v>3624</v>
      </c>
      <c r="AK5840" s="5" t="s">
        <v>3620</v>
      </c>
    </row>
    <row r="5841" spans="35:37">
      <c r="AI5841" s="468">
        <v>48213</v>
      </c>
      <c r="AJ5841" s="5" t="s">
        <v>3626</v>
      </c>
      <c r="AK5841" s="5" t="s">
        <v>3622</v>
      </c>
    </row>
    <row r="5842" spans="35:37">
      <c r="AI5842" s="468">
        <v>48214</v>
      </c>
      <c r="AJ5842" s="5" t="s">
        <v>3628</v>
      </c>
      <c r="AK5842" s="5" t="s">
        <v>3623</v>
      </c>
    </row>
    <row r="5843" spans="35:37">
      <c r="AI5843" s="468">
        <v>48215</v>
      </c>
      <c r="AJ5843" s="5" t="s">
        <v>3617</v>
      </c>
      <c r="AK5843" s="5" t="s">
        <v>3625</v>
      </c>
    </row>
    <row r="5844" spans="35:37">
      <c r="AI5844" s="468">
        <v>48216</v>
      </c>
      <c r="AJ5844" s="5" t="s">
        <v>3619</v>
      </c>
      <c r="AK5844" s="5" t="s">
        <v>3627</v>
      </c>
    </row>
    <row r="5845" spans="35:37">
      <c r="AI5845" s="468">
        <v>48217</v>
      </c>
      <c r="AJ5845" s="5" t="s">
        <v>3621</v>
      </c>
      <c r="AK5845" s="5" t="s">
        <v>3618</v>
      </c>
    </row>
    <row r="5846" spans="35:37">
      <c r="AI5846" s="468">
        <v>48218</v>
      </c>
      <c r="AJ5846" s="5" t="s">
        <v>3579</v>
      </c>
      <c r="AK5846" s="5" t="s">
        <v>3620</v>
      </c>
    </row>
    <row r="5847" spans="35:37">
      <c r="AI5847" s="468">
        <v>48219</v>
      </c>
      <c r="AJ5847" s="5" t="s">
        <v>3624</v>
      </c>
      <c r="AK5847" s="5" t="s">
        <v>3622</v>
      </c>
    </row>
    <row r="5848" spans="35:37">
      <c r="AI5848" s="468">
        <v>48220</v>
      </c>
      <c r="AJ5848" s="5" t="s">
        <v>3626</v>
      </c>
      <c r="AK5848" s="5" t="s">
        <v>3623</v>
      </c>
    </row>
    <row r="5849" spans="35:37">
      <c r="AI5849" s="468">
        <v>48221</v>
      </c>
      <c r="AJ5849" s="5" t="s">
        <v>3628</v>
      </c>
      <c r="AK5849" s="5" t="s">
        <v>3625</v>
      </c>
    </row>
    <row r="5850" spans="35:37">
      <c r="AI5850" s="468">
        <v>48222</v>
      </c>
      <c r="AJ5850" s="5" t="s">
        <v>3617</v>
      </c>
      <c r="AK5850" s="5" t="s">
        <v>3627</v>
      </c>
    </row>
    <row r="5851" spans="35:37">
      <c r="AI5851" s="468">
        <v>48223</v>
      </c>
      <c r="AJ5851" s="5" t="s">
        <v>3619</v>
      </c>
      <c r="AK5851" s="5" t="s">
        <v>3618</v>
      </c>
    </row>
    <row r="5852" spans="35:37">
      <c r="AI5852" s="468">
        <v>48224</v>
      </c>
      <c r="AJ5852" s="5" t="s">
        <v>3621</v>
      </c>
      <c r="AK5852" s="5" t="s">
        <v>3620</v>
      </c>
    </row>
    <row r="5853" spans="35:37">
      <c r="AI5853" s="468">
        <v>48225</v>
      </c>
      <c r="AJ5853" s="5" t="s">
        <v>3579</v>
      </c>
      <c r="AK5853" s="5" t="s">
        <v>3622</v>
      </c>
    </row>
    <row r="5854" spans="35:37">
      <c r="AI5854" s="468">
        <v>48226</v>
      </c>
      <c r="AJ5854" s="5" t="s">
        <v>3624</v>
      </c>
      <c r="AK5854" s="5" t="s">
        <v>3625</v>
      </c>
    </row>
    <row r="5855" spans="35:37">
      <c r="AI5855" s="468">
        <v>48227</v>
      </c>
      <c r="AJ5855" s="5" t="s">
        <v>3626</v>
      </c>
      <c r="AK5855" s="5" t="s">
        <v>3627</v>
      </c>
    </row>
    <row r="5856" spans="35:37">
      <c r="AI5856" s="468">
        <v>48228</v>
      </c>
      <c r="AJ5856" s="5" t="s">
        <v>3628</v>
      </c>
      <c r="AK5856" s="5" t="s">
        <v>3618</v>
      </c>
    </row>
    <row r="5857" spans="35:37">
      <c r="AI5857" s="468">
        <v>48229</v>
      </c>
      <c r="AJ5857" s="5" t="s">
        <v>3617</v>
      </c>
      <c r="AK5857" s="5" t="s">
        <v>3620</v>
      </c>
    </row>
    <row r="5858" spans="35:37">
      <c r="AI5858" s="468">
        <v>48230</v>
      </c>
      <c r="AJ5858" s="5" t="s">
        <v>3619</v>
      </c>
      <c r="AK5858" s="5" t="s">
        <v>3622</v>
      </c>
    </row>
    <row r="5859" spans="35:37">
      <c r="AI5859" s="468">
        <v>48231</v>
      </c>
      <c r="AJ5859" s="5" t="s">
        <v>3621</v>
      </c>
      <c r="AK5859" s="5" t="s">
        <v>3623</v>
      </c>
    </row>
    <row r="5860" spans="35:37">
      <c r="AI5860" s="468">
        <v>48232</v>
      </c>
      <c r="AJ5860" s="5" t="s">
        <v>3579</v>
      </c>
      <c r="AK5860" s="5" t="s">
        <v>3625</v>
      </c>
    </row>
    <row r="5861" spans="35:37">
      <c r="AI5861" s="468">
        <v>48233</v>
      </c>
      <c r="AJ5861" s="5" t="s">
        <v>3624</v>
      </c>
      <c r="AK5861" s="5" t="s">
        <v>3627</v>
      </c>
    </row>
    <row r="5862" spans="35:37">
      <c r="AI5862" s="468">
        <v>48234</v>
      </c>
      <c r="AJ5862" s="5" t="s">
        <v>3626</v>
      </c>
      <c r="AK5862" s="5" t="s">
        <v>3618</v>
      </c>
    </row>
    <row r="5863" spans="35:37">
      <c r="AI5863" s="468">
        <v>48235</v>
      </c>
      <c r="AJ5863" s="5" t="s">
        <v>3628</v>
      </c>
      <c r="AK5863" s="5" t="s">
        <v>3620</v>
      </c>
    </row>
    <row r="5864" spans="35:37">
      <c r="AI5864" s="468">
        <v>48236</v>
      </c>
      <c r="AJ5864" s="5" t="s">
        <v>3617</v>
      </c>
      <c r="AK5864" s="5" t="s">
        <v>3622</v>
      </c>
    </row>
    <row r="5865" spans="35:37">
      <c r="AI5865" s="468">
        <v>48237</v>
      </c>
      <c r="AJ5865" s="5" t="s">
        <v>3619</v>
      </c>
      <c r="AK5865" s="5" t="s">
        <v>3623</v>
      </c>
    </row>
    <row r="5866" spans="35:37">
      <c r="AI5866" s="468">
        <v>48238</v>
      </c>
      <c r="AJ5866" s="5" t="s">
        <v>3621</v>
      </c>
      <c r="AK5866" s="5" t="s">
        <v>3625</v>
      </c>
    </row>
    <row r="5867" spans="35:37">
      <c r="AI5867" s="468">
        <v>48239</v>
      </c>
      <c r="AJ5867" s="5" t="s">
        <v>3579</v>
      </c>
      <c r="AK5867" s="5" t="s">
        <v>3627</v>
      </c>
    </row>
    <row r="5868" spans="35:37">
      <c r="AI5868" s="468">
        <v>48240</v>
      </c>
      <c r="AJ5868" s="5" t="s">
        <v>3624</v>
      </c>
      <c r="AK5868" s="5" t="s">
        <v>3618</v>
      </c>
    </row>
    <row r="5869" spans="35:37">
      <c r="AI5869" s="468">
        <v>48241</v>
      </c>
      <c r="AJ5869" s="5" t="s">
        <v>3626</v>
      </c>
      <c r="AK5869" s="5" t="s">
        <v>3620</v>
      </c>
    </row>
    <row r="5870" spans="35:37">
      <c r="AI5870" s="468">
        <v>48242</v>
      </c>
      <c r="AJ5870" s="5" t="s">
        <v>3628</v>
      </c>
      <c r="AK5870" s="5" t="s">
        <v>3622</v>
      </c>
    </row>
    <row r="5871" spans="35:37">
      <c r="AI5871" s="468">
        <v>48243</v>
      </c>
      <c r="AJ5871" s="5" t="s">
        <v>3617</v>
      </c>
      <c r="AK5871" s="5" t="s">
        <v>3623</v>
      </c>
    </row>
    <row r="5872" spans="35:37">
      <c r="AI5872" s="468">
        <v>48244</v>
      </c>
      <c r="AJ5872" s="5" t="s">
        <v>3619</v>
      </c>
      <c r="AK5872" s="5" t="s">
        <v>3625</v>
      </c>
    </row>
    <row r="5873" spans="35:37">
      <c r="AI5873" s="468">
        <v>48245</v>
      </c>
      <c r="AJ5873" s="5" t="s">
        <v>3621</v>
      </c>
      <c r="AK5873" s="5" t="s">
        <v>3627</v>
      </c>
    </row>
    <row r="5874" spans="35:37">
      <c r="AI5874" s="468">
        <v>48246</v>
      </c>
      <c r="AJ5874" s="5" t="s">
        <v>3579</v>
      </c>
      <c r="AK5874" s="5" t="s">
        <v>3618</v>
      </c>
    </row>
    <row r="5875" spans="35:37">
      <c r="AI5875" s="468">
        <v>48247</v>
      </c>
      <c r="AJ5875" s="5" t="s">
        <v>3624</v>
      </c>
      <c r="AK5875" s="5" t="s">
        <v>3620</v>
      </c>
    </row>
    <row r="5876" spans="35:37">
      <c r="AI5876" s="468">
        <v>48248</v>
      </c>
      <c r="AJ5876" s="5" t="s">
        <v>3626</v>
      </c>
      <c r="AK5876" s="5" t="s">
        <v>3622</v>
      </c>
    </row>
    <row r="5877" spans="35:37">
      <c r="AI5877" s="468">
        <v>48249</v>
      </c>
      <c r="AJ5877" s="5" t="s">
        <v>3628</v>
      </c>
      <c r="AK5877" s="5" t="s">
        <v>3623</v>
      </c>
    </row>
    <row r="5878" spans="35:37">
      <c r="AI5878" s="468">
        <v>48250</v>
      </c>
      <c r="AJ5878" s="5" t="s">
        <v>3617</v>
      </c>
      <c r="AK5878" s="5" t="s">
        <v>3625</v>
      </c>
    </row>
    <row r="5879" spans="35:37">
      <c r="AI5879" s="468">
        <v>48251</v>
      </c>
      <c r="AJ5879" s="5" t="s">
        <v>3619</v>
      </c>
      <c r="AK5879" s="5" t="s">
        <v>3627</v>
      </c>
    </row>
    <row r="5880" spans="35:37">
      <c r="AI5880" s="468">
        <v>48252</v>
      </c>
      <c r="AJ5880" s="5" t="s">
        <v>3621</v>
      </c>
      <c r="AK5880" s="5" t="s">
        <v>3618</v>
      </c>
    </row>
    <row r="5881" spans="35:37">
      <c r="AI5881" s="468">
        <v>48253</v>
      </c>
      <c r="AJ5881" s="5" t="s">
        <v>3579</v>
      </c>
      <c r="AK5881" s="5" t="s">
        <v>3620</v>
      </c>
    </row>
    <row r="5882" spans="35:37">
      <c r="AI5882" s="468">
        <v>48254</v>
      </c>
      <c r="AJ5882" s="5" t="s">
        <v>3624</v>
      </c>
      <c r="AK5882" s="5" t="s">
        <v>3622</v>
      </c>
    </row>
    <row r="5883" spans="35:37">
      <c r="AI5883" s="468">
        <v>48255</v>
      </c>
      <c r="AJ5883" s="5" t="s">
        <v>3626</v>
      </c>
      <c r="AK5883" s="5" t="s">
        <v>3627</v>
      </c>
    </row>
    <row r="5884" spans="35:37">
      <c r="AI5884" s="468">
        <v>48256</v>
      </c>
      <c r="AJ5884" s="5" t="s">
        <v>3628</v>
      </c>
      <c r="AK5884" s="5" t="s">
        <v>3618</v>
      </c>
    </row>
    <row r="5885" spans="35:37">
      <c r="AI5885" s="468">
        <v>48257</v>
      </c>
      <c r="AJ5885" s="5" t="s">
        <v>3617</v>
      </c>
      <c r="AK5885" s="5" t="s">
        <v>3620</v>
      </c>
    </row>
    <row r="5886" spans="35:37">
      <c r="AI5886" s="468">
        <v>48258</v>
      </c>
      <c r="AJ5886" s="5" t="s">
        <v>3619</v>
      </c>
      <c r="AK5886" s="5" t="s">
        <v>3622</v>
      </c>
    </row>
    <row r="5887" spans="35:37">
      <c r="AI5887" s="468">
        <v>48259</v>
      </c>
      <c r="AJ5887" s="5" t="s">
        <v>3621</v>
      </c>
      <c r="AK5887" s="5" t="s">
        <v>3623</v>
      </c>
    </row>
    <row r="5888" spans="35:37">
      <c r="AI5888" s="468">
        <v>48260</v>
      </c>
      <c r="AJ5888" s="5" t="s">
        <v>3579</v>
      </c>
      <c r="AK5888" s="5" t="s">
        <v>3625</v>
      </c>
    </row>
    <row r="5889" spans="35:37">
      <c r="AI5889" s="468">
        <v>48261</v>
      </c>
      <c r="AJ5889" s="5" t="s">
        <v>3624</v>
      </c>
      <c r="AK5889" s="5" t="s">
        <v>3627</v>
      </c>
    </row>
    <row r="5890" spans="35:37">
      <c r="AI5890" s="468">
        <v>48262</v>
      </c>
      <c r="AJ5890" s="5" t="s">
        <v>3626</v>
      </c>
      <c r="AK5890" s="5" t="s">
        <v>3618</v>
      </c>
    </row>
    <row r="5891" spans="35:37">
      <c r="AI5891" s="468">
        <v>48263</v>
      </c>
      <c r="AJ5891" s="5" t="s">
        <v>3628</v>
      </c>
      <c r="AK5891" s="5" t="s">
        <v>3620</v>
      </c>
    </row>
    <row r="5892" spans="35:37">
      <c r="AI5892" s="468">
        <v>48264</v>
      </c>
      <c r="AJ5892" s="5" t="s">
        <v>3617</v>
      </c>
      <c r="AK5892" s="5" t="s">
        <v>3622</v>
      </c>
    </row>
    <row r="5893" spans="35:37">
      <c r="AI5893" s="468">
        <v>48265</v>
      </c>
      <c r="AJ5893" s="5" t="s">
        <v>3619</v>
      </c>
      <c r="AK5893" s="5" t="s">
        <v>3623</v>
      </c>
    </row>
    <row r="5894" spans="35:37">
      <c r="AI5894" s="468">
        <v>48266</v>
      </c>
      <c r="AJ5894" s="5" t="s">
        <v>3621</v>
      </c>
      <c r="AK5894" s="5" t="s">
        <v>3625</v>
      </c>
    </row>
    <row r="5895" spans="35:37">
      <c r="AI5895" s="468">
        <v>48267</v>
      </c>
      <c r="AJ5895" s="5" t="s">
        <v>3579</v>
      </c>
      <c r="AK5895" s="5" t="s">
        <v>3627</v>
      </c>
    </row>
    <row r="5896" spans="35:37">
      <c r="AI5896" s="468">
        <v>48268</v>
      </c>
      <c r="AJ5896" s="5" t="s">
        <v>3624</v>
      </c>
      <c r="AK5896" s="5" t="s">
        <v>3618</v>
      </c>
    </row>
    <row r="5897" spans="35:37">
      <c r="AI5897" s="468">
        <v>48269</v>
      </c>
      <c r="AJ5897" s="5" t="s">
        <v>3626</v>
      </c>
      <c r="AK5897" s="5" t="s">
        <v>3620</v>
      </c>
    </row>
    <row r="5898" spans="35:37">
      <c r="AI5898" s="468">
        <v>48270</v>
      </c>
      <c r="AJ5898" s="5" t="s">
        <v>3628</v>
      </c>
      <c r="AK5898" s="5" t="s">
        <v>3622</v>
      </c>
    </row>
    <row r="5899" spans="35:37">
      <c r="AI5899" s="468">
        <v>48271</v>
      </c>
      <c r="AJ5899" s="5" t="s">
        <v>3617</v>
      </c>
      <c r="AK5899" s="5" t="s">
        <v>3623</v>
      </c>
    </row>
    <row r="5900" spans="35:37">
      <c r="AI5900" s="468">
        <v>48272</v>
      </c>
      <c r="AJ5900" s="5" t="s">
        <v>3619</v>
      </c>
      <c r="AK5900" s="5" t="s">
        <v>3625</v>
      </c>
    </row>
    <row r="5901" spans="35:37">
      <c r="AI5901" s="468">
        <v>48273</v>
      </c>
      <c r="AJ5901" s="5" t="s">
        <v>3621</v>
      </c>
      <c r="AK5901" s="5" t="s">
        <v>3627</v>
      </c>
    </row>
    <row r="5902" spans="35:37">
      <c r="AI5902" s="468">
        <v>48274</v>
      </c>
      <c r="AJ5902" s="5" t="s">
        <v>3579</v>
      </c>
      <c r="AK5902" s="5" t="s">
        <v>3618</v>
      </c>
    </row>
    <row r="5903" spans="35:37">
      <c r="AI5903" s="468">
        <v>48275</v>
      </c>
      <c r="AJ5903" s="5" t="s">
        <v>3624</v>
      </c>
      <c r="AK5903" s="5" t="s">
        <v>3620</v>
      </c>
    </row>
    <row r="5904" spans="35:37">
      <c r="AI5904" s="468">
        <v>48276</v>
      </c>
      <c r="AJ5904" s="5" t="s">
        <v>3626</v>
      </c>
      <c r="AK5904" s="5" t="s">
        <v>3622</v>
      </c>
    </row>
    <row r="5905" spans="35:37">
      <c r="AI5905" s="468">
        <v>48277</v>
      </c>
      <c r="AJ5905" s="5" t="s">
        <v>3628</v>
      </c>
      <c r="AK5905" s="5" t="s">
        <v>3623</v>
      </c>
    </row>
    <row r="5906" spans="35:37">
      <c r="AI5906" s="468">
        <v>48278</v>
      </c>
      <c r="AJ5906" s="5" t="s">
        <v>3617</v>
      </c>
      <c r="AK5906" s="5" t="s">
        <v>3625</v>
      </c>
    </row>
    <row r="5907" spans="35:37">
      <c r="AI5907" s="468">
        <v>48279</v>
      </c>
      <c r="AJ5907" s="5" t="s">
        <v>3619</v>
      </c>
      <c r="AK5907" s="5" t="s">
        <v>3627</v>
      </c>
    </row>
    <row r="5908" spans="35:37">
      <c r="AI5908" s="468">
        <v>48280</v>
      </c>
      <c r="AJ5908" s="5" t="s">
        <v>3621</v>
      </c>
      <c r="AK5908" s="5" t="s">
        <v>3618</v>
      </c>
    </row>
    <row r="5909" spans="35:37">
      <c r="AI5909" s="468">
        <v>48281</v>
      </c>
      <c r="AJ5909" s="5" t="s">
        <v>3579</v>
      </c>
      <c r="AK5909" s="5" t="s">
        <v>3620</v>
      </c>
    </row>
    <row r="5910" spans="35:37">
      <c r="AI5910" s="468">
        <v>48282</v>
      </c>
      <c r="AJ5910" s="5" t="s">
        <v>3624</v>
      </c>
      <c r="AK5910" s="5" t="s">
        <v>3622</v>
      </c>
    </row>
    <row r="5911" spans="35:37">
      <c r="AI5911" s="468">
        <v>48283</v>
      </c>
      <c r="AJ5911" s="5" t="s">
        <v>3626</v>
      </c>
      <c r="AK5911" s="5" t="s">
        <v>3623</v>
      </c>
    </row>
    <row r="5912" spans="35:37">
      <c r="AI5912" s="468">
        <v>48284</v>
      </c>
      <c r="AJ5912" s="5" t="s">
        <v>3628</v>
      </c>
      <c r="AK5912" s="5" t="s">
        <v>3625</v>
      </c>
    </row>
    <row r="5913" spans="35:37">
      <c r="AI5913" s="468">
        <v>48285</v>
      </c>
      <c r="AJ5913" s="5" t="s">
        <v>3617</v>
      </c>
      <c r="AK5913" s="5" t="s">
        <v>3618</v>
      </c>
    </row>
    <row r="5914" spans="35:37">
      <c r="AI5914" s="468">
        <v>48286</v>
      </c>
      <c r="AJ5914" s="5" t="s">
        <v>3619</v>
      </c>
      <c r="AK5914" s="5" t="s">
        <v>3620</v>
      </c>
    </row>
    <row r="5915" spans="35:37">
      <c r="AI5915" s="468">
        <v>48287</v>
      </c>
      <c r="AJ5915" s="5" t="s">
        <v>3621</v>
      </c>
      <c r="AK5915" s="5" t="s">
        <v>3622</v>
      </c>
    </row>
    <row r="5916" spans="35:37">
      <c r="AI5916" s="468">
        <v>48288</v>
      </c>
      <c r="AJ5916" s="5" t="s">
        <v>3579</v>
      </c>
      <c r="AK5916" s="5" t="s">
        <v>3623</v>
      </c>
    </row>
    <row r="5917" spans="35:37">
      <c r="AI5917" s="468">
        <v>48289</v>
      </c>
      <c r="AJ5917" s="5" t="s">
        <v>3624</v>
      </c>
      <c r="AK5917" s="5" t="s">
        <v>3625</v>
      </c>
    </row>
    <row r="5918" spans="35:37">
      <c r="AI5918" s="468">
        <v>48290</v>
      </c>
      <c r="AJ5918" s="5" t="s">
        <v>3626</v>
      </c>
      <c r="AK5918" s="5" t="s">
        <v>3627</v>
      </c>
    </row>
    <row r="5919" spans="35:37">
      <c r="AI5919" s="468">
        <v>48291</v>
      </c>
      <c r="AJ5919" s="5" t="s">
        <v>3628</v>
      </c>
      <c r="AK5919" s="5" t="s">
        <v>3618</v>
      </c>
    </row>
    <row r="5920" spans="35:37">
      <c r="AI5920" s="468">
        <v>48292</v>
      </c>
      <c r="AJ5920" s="5" t="s">
        <v>3617</v>
      </c>
      <c r="AK5920" s="5" t="s">
        <v>3620</v>
      </c>
    </row>
    <row r="5921" spans="35:37">
      <c r="AI5921" s="468">
        <v>48293</v>
      </c>
      <c r="AJ5921" s="5" t="s">
        <v>3619</v>
      </c>
      <c r="AK5921" s="5" t="s">
        <v>3622</v>
      </c>
    </row>
    <row r="5922" spans="35:37">
      <c r="AI5922" s="468">
        <v>48294</v>
      </c>
      <c r="AJ5922" s="5" t="s">
        <v>3621</v>
      </c>
      <c r="AK5922" s="5" t="s">
        <v>3623</v>
      </c>
    </row>
    <row r="5923" spans="35:37">
      <c r="AI5923" s="468">
        <v>48295</v>
      </c>
      <c r="AJ5923" s="5" t="s">
        <v>3579</v>
      </c>
      <c r="AK5923" s="5" t="s">
        <v>3625</v>
      </c>
    </row>
    <row r="5924" spans="35:37">
      <c r="AI5924" s="468">
        <v>48296</v>
      </c>
      <c r="AJ5924" s="5" t="s">
        <v>3624</v>
      </c>
      <c r="AK5924" s="5" t="s">
        <v>3627</v>
      </c>
    </row>
    <row r="5925" spans="35:37">
      <c r="AI5925" s="468">
        <v>48297</v>
      </c>
      <c r="AJ5925" s="5" t="s">
        <v>3626</v>
      </c>
      <c r="AK5925" s="5" t="s">
        <v>3618</v>
      </c>
    </row>
    <row r="5926" spans="35:37">
      <c r="AI5926" s="468">
        <v>48298</v>
      </c>
      <c r="AJ5926" s="5" t="s">
        <v>3628</v>
      </c>
      <c r="AK5926" s="5" t="s">
        <v>3620</v>
      </c>
    </row>
    <row r="5927" spans="35:37">
      <c r="AI5927" s="468">
        <v>48299</v>
      </c>
      <c r="AJ5927" s="5" t="s">
        <v>3617</v>
      </c>
      <c r="AK5927" s="5" t="s">
        <v>3622</v>
      </c>
    </row>
    <row r="5928" spans="35:37">
      <c r="AI5928" s="468">
        <v>48300</v>
      </c>
      <c r="AJ5928" s="5" t="s">
        <v>3619</v>
      </c>
      <c r="AK5928" s="5" t="s">
        <v>3623</v>
      </c>
    </row>
    <row r="5929" spans="35:37">
      <c r="AI5929" s="468">
        <v>48301</v>
      </c>
      <c r="AJ5929" s="5" t="s">
        <v>3621</v>
      </c>
      <c r="AK5929" s="5" t="s">
        <v>3625</v>
      </c>
    </row>
    <row r="5930" spans="35:37">
      <c r="AI5930" s="468">
        <v>48302</v>
      </c>
      <c r="AJ5930" s="5" t="s">
        <v>3579</v>
      </c>
      <c r="AK5930" s="5" t="s">
        <v>3627</v>
      </c>
    </row>
    <row r="5931" spans="35:37">
      <c r="AI5931" s="468">
        <v>48303</v>
      </c>
      <c r="AJ5931" s="5" t="s">
        <v>3624</v>
      </c>
      <c r="AK5931" s="5" t="s">
        <v>3618</v>
      </c>
    </row>
    <row r="5932" spans="35:37">
      <c r="AI5932" s="468">
        <v>48304</v>
      </c>
      <c r="AJ5932" s="5" t="s">
        <v>3626</v>
      </c>
      <c r="AK5932" s="5" t="s">
        <v>3620</v>
      </c>
    </row>
    <row r="5933" spans="35:37">
      <c r="AI5933" s="468">
        <v>48305</v>
      </c>
      <c r="AJ5933" s="5" t="s">
        <v>3628</v>
      </c>
      <c r="AK5933" s="5" t="s">
        <v>3622</v>
      </c>
    </row>
    <row r="5934" spans="35:37">
      <c r="AI5934" s="468">
        <v>48306</v>
      </c>
      <c r="AJ5934" s="5" t="s">
        <v>3617</v>
      </c>
      <c r="AK5934" s="5" t="s">
        <v>3623</v>
      </c>
    </row>
    <row r="5935" spans="35:37">
      <c r="AI5935" s="468">
        <v>48307</v>
      </c>
      <c r="AJ5935" s="5" t="s">
        <v>3619</v>
      </c>
      <c r="AK5935" s="5" t="s">
        <v>3625</v>
      </c>
    </row>
    <row r="5936" spans="35:37">
      <c r="AI5936" s="468">
        <v>48308</v>
      </c>
      <c r="AJ5936" s="5" t="s">
        <v>3621</v>
      </c>
      <c r="AK5936" s="5" t="s">
        <v>3627</v>
      </c>
    </row>
    <row r="5937" spans="35:37">
      <c r="AI5937" s="468">
        <v>48309</v>
      </c>
      <c r="AJ5937" s="5" t="s">
        <v>3579</v>
      </c>
      <c r="AK5937" s="5" t="s">
        <v>3618</v>
      </c>
    </row>
    <row r="5938" spans="35:37">
      <c r="AI5938" s="468">
        <v>48310</v>
      </c>
      <c r="AJ5938" s="5" t="s">
        <v>3624</v>
      </c>
      <c r="AK5938" s="5" t="s">
        <v>3620</v>
      </c>
    </row>
    <row r="5939" spans="35:37">
      <c r="AI5939" s="468">
        <v>48311</v>
      </c>
      <c r="AJ5939" s="5" t="s">
        <v>3626</v>
      </c>
      <c r="AK5939" s="5" t="s">
        <v>3622</v>
      </c>
    </row>
    <row r="5940" spans="35:37">
      <c r="AI5940" s="468">
        <v>48312</v>
      </c>
      <c r="AJ5940" s="5" t="s">
        <v>3628</v>
      </c>
      <c r="AK5940" s="5" t="s">
        <v>3623</v>
      </c>
    </row>
    <row r="5941" spans="35:37">
      <c r="AI5941" s="468">
        <v>48313</v>
      </c>
      <c r="AJ5941" s="5" t="s">
        <v>3617</v>
      </c>
      <c r="AK5941" s="5" t="s">
        <v>3625</v>
      </c>
    </row>
    <row r="5942" spans="35:37">
      <c r="AI5942" s="468">
        <v>48314</v>
      </c>
      <c r="AJ5942" s="5" t="s">
        <v>3619</v>
      </c>
      <c r="AK5942" s="5" t="s">
        <v>3620</v>
      </c>
    </row>
    <row r="5943" spans="35:37">
      <c r="AI5943" s="468">
        <v>48315</v>
      </c>
      <c r="AJ5943" s="5" t="s">
        <v>3621</v>
      </c>
      <c r="AK5943" s="5" t="s">
        <v>3622</v>
      </c>
    </row>
    <row r="5944" spans="35:37">
      <c r="AI5944" s="468">
        <v>48316</v>
      </c>
      <c r="AJ5944" s="5" t="s">
        <v>3579</v>
      </c>
      <c r="AK5944" s="5" t="s">
        <v>3623</v>
      </c>
    </row>
    <row r="5945" spans="35:37">
      <c r="AI5945" s="468">
        <v>48317</v>
      </c>
      <c r="AJ5945" s="5" t="s">
        <v>3624</v>
      </c>
      <c r="AK5945" s="5" t="s">
        <v>3625</v>
      </c>
    </row>
    <row r="5946" spans="35:37">
      <c r="AI5946" s="468">
        <v>48318</v>
      </c>
      <c r="AJ5946" s="5" t="s">
        <v>3626</v>
      </c>
      <c r="AK5946" s="5" t="s">
        <v>3627</v>
      </c>
    </row>
    <row r="5947" spans="35:37">
      <c r="AI5947" s="468">
        <v>48319</v>
      </c>
      <c r="AJ5947" s="5" t="s">
        <v>3628</v>
      </c>
      <c r="AK5947" s="5" t="s">
        <v>3618</v>
      </c>
    </row>
    <row r="5948" spans="35:37">
      <c r="AI5948" s="468">
        <v>48320</v>
      </c>
      <c r="AJ5948" s="5" t="s">
        <v>3617</v>
      </c>
      <c r="AK5948" s="5" t="s">
        <v>3620</v>
      </c>
    </row>
    <row r="5949" spans="35:37">
      <c r="AI5949" s="468">
        <v>48321</v>
      </c>
      <c r="AJ5949" s="5" t="s">
        <v>3619</v>
      </c>
      <c r="AK5949" s="5" t="s">
        <v>3622</v>
      </c>
    </row>
    <row r="5950" spans="35:37">
      <c r="AI5950" s="468">
        <v>48322</v>
      </c>
      <c r="AJ5950" s="5" t="s">
        <v>3621</v>
      </c>
      <c r="AK5950" s="5" t="s">
        <v>3623</v>
      </c>
    </row>
    <row r="5951" spans="35:37">
      <c r="AI5951" s="468">
        <v>48323</v>
      </c>
      <c r="AJ5951" s="5" t="s">
        <v>3579</v>
      </c>
      <c r="AK5951" s="5" t="s">
        <v>3625</v>
      </c>
    </row>
    <row r="5952" spans="35:37">
      <c r="AI5952" s="468">
        <v>48324</v>
      </c>
      <c r="AJ5952" s="5" t="s">
        <v>3624</v>
      </c>
      <c r="AK5952" s="5" t="s">
        <v>3627</v>
      </c>
    </row>
    <row r="5953" spans="35:37">
      <c r="AI5953" s="468">
        <v>48325</v>
      </c>
      <c r="AJ5953" s="5" t="s">
        <v>3626</v>
      </c>
      <c r="AK5953" s="5" t="s">
        <v>3618</v>
      </c>
    </row>
    <row r="5954" spans="35:37">
      <c r="AI5954" s="468">
        <v>48326</v>
      </c>
      <c r="AJ5954" s="5" t="s">
        <v>3628</v>
      </c>
      <c r="AK5954" s="5" t="s">
        <v>3620</v>
      </c>
    </row>
    <row r="5955" spans="35:37">
      <c r="AI5955" s="468">
        <v>48327</v>
      </c>
      <c r="AJ5955" s="5" t="s">
        <v>3617</v>
      </c>
      <c r="AK5955" s="5" t="s">
        <v>3622</v>
      </c>
    </row>
    <row r="5956" spans="35:37">
      <c r="AI5956" s="468">
        <v>48328</v>
      </c>
      <c r="AJ5956" s="5" t="s">
        <v>3619</v>
      </c>
      <c r="AK5956" s="5" t="s">
        <v>3623</v>
      </c>
    </row>
    <row r="5957" spans="35:37">
      <c r="AI5957" s="468">
        <v>48329</v>
      </c>
      <c r="AJ5957" s="5" t="s">
        <v>3621</v>
      </c>
      <c r="AK5957" s="5" t="s">
        <v>3625</v>
      </c>
    </row>
    <row r="5958" spans="35:37">
      <c r="AI5958" s="468">
        <v>48330</v>
      </c>
      <c r="AJ5958" s="5" t="s">
        <v>3579</v>
      </c>
      <c r="AK5958" s="5" t="s">
        <v>3627</v>
      </c>
    </row>
    <row r="5959" spans="35:37">
      <c r="AI5959" s="468">
        <v>48331</v>
      </c>
      <c r="AJ5959" s="5" t="s">
        <v>3624</v>
      </c>
      <c r="AK5959" s="5" t="s">
        <v>3618</v>
      </c>
    </row>
    <row r="5960" spans="35:37">
      <c r="AI5960" s="468">
        <v>48332</v>
      </c>
      <c r="AJ5960" s="5" t="s">
        <v>3626</v>
      </c>
      <c r="AK5960" s="5" t="s">
        <v>3620</v>
      </c>
    </row>
    <row r="5961" spans="35:37">
      <c r="AI5961" s="468">
        <v>48333</v>
      </c>
      <c r="AJ5961" s="5" t="s">
        <v>3628</v>
      </c>
      <c r="AK5961" s="5" t="s">
        <v>3622</v>
      </c>
    </row>
    <row r="5962" spans="35:37">
      <c r="AI5962" s="468">
        <v>48334</v>
      </c>
      <c r="AJ5962" s="5" t="s">
        <v>3617</v>
      </c>
      <c r="AK5962" s="5" t="s">
        <v>3623</v>
      </c>
    </row>
    <row r="5963" spans="35:37">
      <c r="AI5963" s="468">
        <v>48335</v>
      </c>
      <c r="AJ5963" s="5" t="s">
        <v>3619</v>
      </c>
      <c r="AK5963" s="5" t="s">
        <v>3625</v>
      </c>
    </row>
    <row r="5964" spans="35:37">
      <c r="AI5964" s="468">
        <v>48336</v>
      </c>
      <c r="AJ5964" s="5" t="s">
        <v>3621</v>
      </c>
      <c r="AK5964" s="5" t="s">
        <v>3627</v>
      </c>
    </row>
    <row r="5965" spans="35:37">
      <c r="AI5965" s="468">
        <v>48337</v>
      </c>
      <c r="AJ5965" s="5" t="s">
        <v>3579</v>
      </c>
      <c r="AK5965" s="5" t="s">
        <v>3618</v>
      </c>
    </row>
    <row r="5966" spans="35:37">
      <c r="AI5966" s="468">
        <v>48338</v>
      </c>
      <c r="AJ5966" s="5" t="s">
        <v>3624</v>
      </c>
      <c r="AK5966" s="5" t="s">
        <v>3620</v>
      </c>
    </row>
    <row r="5967" spans="35:37">
      <c r="AI5967" s="468">
        <v>48339</v>
      </c>
      <c r="AJ5967" s="5" t="s">
        <v>3626</v>
      </c>
      <c r="AK5967" s="5" t="s">
        <v>3622</v>
      </c>
    </row>
    <row r="5968" spans="35:37">
      <c r="AI5968" s="468">
        <v>48340</v>
      </c>
      <c r="AJ5968" s="5" t="s">
        <v>3628</v>
      </c>
      <c r="AK5968" s="5" t="s">
        <v>3623</v>
      </c>
    </row>
    <row r="5969" spans="35:37">
      <c r="AI5969" s="468">
        <v>48341</v>
      </c>
      <c r="AJ5969" s="5" t="s">
        <v>3617</v>
      </c>
      <c r="AK5969" s="5" t="s">
        <v>3625</v>
      </c>
    </row>
    <row r="5970" spans="35:37">
      <c r="AI5970" s="468">
        <v>48342</v>
      </c>
      <c r="AJ5970" s="5" t="s">
        <v>3619</v>
      </c>
      <c r="AK5970" s="5" t="s">
        <v>3627</v>
      </c>
    </row>
    <row r="5971" spans="35:37">
      <c r="AI5971" s="468">
        <v>48343</v>
      </c>
      <c r="AJ5971" s="5" t="s">
        <v>3621</v>
      </c>
      <c r="AK5971" s="5" t="s">
        <v>3622</v>
      </c>
    </row>
    <row r="5972" spans="35:37">
      <c r="AI5972" s="468">
        <v>48344</v>
      </c>
      <c r="AJ5972" s="5" t="s">
        <v>3579</v>
      </c>
      <c r="AK5972" s="5" t="s">
        <v>3623</v>
      </c>
    </row>
    <row r="5973" spans="35:37">
      <c r="AI5973" s="468">
        <v>48345</v>
      </c>
      <c r="AJ5973" s="5" t="s">
        <v>3624</v>
      </c>
      <c r="AK5973" s="5" t="s">
        <v>3625</v>
      </c>
    </row>
    <row r="5974" spans="35:37">
      <c r="AI5974" s="468">
        <v>48346</v>
      </c>
      <c r="AJ5974" s="5" t="s">
        <v>3626</v>
      </c>
      <c r="AK5974" s="5" t="s">
        <v>3627</v>
      </c>
    </row>
    <row r="5975" spans="35:37">
      <c r="AI5975" s="468">
        <v>48347</v>
      </c>
      <c r="AJ5975" s="5" t="s">
        <v>3628</v>
      </c>
      <c r="AK5975" s="5" t="s">
        <v>3618</v>
      </c>
    </row>
    <row r="5976" spans="35:37">
      <c r="AI5976" s="468">
        <v>48348</v>
      </c>
      <c r="AJ5976" s="5" t="s">
        <v>3617</v>
      </c>
      <c r="AK5976" s="5" t="s">
        <v>3620</v>
      </c>
    </row>
    <row r="5977" spans="35:37">
      <c r="AI5977" s="468">
        <v>48349</v>
      </c>
      <c r="AJ5977" s="5" t="s">
        <v>3619</v>
      </c>
      <c r="AK5977" s="5" t="s">
        <v>3622</v>
      </c>
    </row>
    <row r="5978" spans="35:37">
      <c r="AI5978" s="468">
        <v>48350</v>
      </c>
      <c r="AJ5978" s="5" t="s">
        <v>3621</v>
      </c>
      <c r="AK5978" s="5" t="s">
        <v>3623</v>
      </c>
    </row>
    <row r="5979" spans="35:37">
      <c r="AI5979" s="468">
        <v>48351</v>
      </c>
      <c r="AJ5979" s="5" t="s">
        <v>3579</v>
      </c>
      <c r="AK5979" s="5" t="s">
        <v>3625</v>
      </c>
    </row>
    <row r="5980" spans="35:37">
      <c r="AI5980" s="468">
        <v>48352</v>
      </c>
      <c r="AJ5980" s="5" t="s">
        <v>3624</v>
      </c>
      <c r="AK5980" s="5" t="s">
        <v>3627</v>
      </c>
    </row>
    <row r="5981" spans="35:37">
      <c r="AI5981" s="468">
        <v>48353</v>
      </c>
      <c r="AJ5981" s="5" t="s">
        <v>3626</v>
      </c>
      <c r="AK5981" s="5" t="s">
        <v>3618</v>
      </c>
    </row>
    <row r="5982" spans="35:37">
      <c r="AI5982" s="468">
        <v>48354</v>
      </c>
      <c r="AJ5982" s="5" t="s">
        <v>3628</v>
      </c>
      <c r="AK5982" s="5" t="s">
        <v>3620</v>
      </c>
    </row>
    <row r="5983" spans="35:37">
      <c r="AI5983" s="468">
        <v>48355</v>
      </c>
      <c r="AJ5983" s="5" t="s">
        <v>3617</v>
      </c>
      <c r="AK5983" s="5" t="s">
        <v>3622</v>
      </c>
    </row>
    <row r="5984" spans="35:37">
      <c r="AI5984" s="468">
        <v>48356</v>
      </c>
      <c r="AJ5984" s="5" t="s">
        <v>3619</v>
      </c>
      <c r="AK5984" s="5" t="s">
        <v>3623</v>
      </c>
    </row>
    <row r="5985" spans="35:37">
      <c r="AI5985" s="468">
        <v>48357</v>
      </c>
      <c r="AJ5985" s="5" t="s">
        <v>3621</v>
      </c>
      <c r="AK5985" s="5" t="s">
        <v>3625</v>
      </c>
    </row>
    <row r="5986" spans="35:37">
      <c r="AI5986" s="468">
        <v>48358</v>
      </c>
      <c r="AJ5986" s="5" t="s">
        <v>3579</v>
      </c>
      <c r="AK5986" s="5" t="s">
        <v>3627</v>
      </c>
    </row>
    <row r="5987" spans="35:37">
      <c r="AI5987" s="468">
        <v>48359</v>
      </c>
      <c r="AJ5987" s="5" t="s">
        <v>3624</v>
      </c>
      <c r="AK5987" s="5" t="s">
        <v>3618</v>
      </c>
    </row>
    <row r="5988" spans="35:37">
      <c r="AI5988" s="468">
        <v>48360</v>
      </c>
      <c r="AJ5988" s="5" t="s">
        <v>3626</v>
      </c>
      <c r="AK5988" s="5" t="s">
        <v>3620</v>
      </c>
    </row>
    <row r="5989" spans="35:37">
      <c r="AI5989" s="468">
        <v>48361</v>
      </c>
      <c r="AJ5989" s="5" t="s">
        <v>3628</v>
      </c>
      <c r="AK5989" s="5" t="s">
        <v>3622</v>
      </c>
    </row>
    <row r="5990" spans="35:37">
      <c r="AI5990" s="468">
        <v>48362</v>
      </c>
      <c r="AJ5990" s="5" t="s">
        <v>3617</v>
      </c>
      <c r="AK5990" s="5" t="s">
        <v>3623</v>
      </c>
    </row>
    <row r="5991" spans="35:37">
      <c r="AI5991" s="468">
        <v>48363</v>
      </c>
      <c r="AJ5991" s="5" t="s">
        <v>3619</v>
      </c>
      <c r="AK5991" s="5" t="s">
        <v>3625</v>
      </c>
    </row>
    <row r="5992" spans="35:37">
      <c r="AI5992" s="468">
        <v>48364</v>
      </c>
      <c r="AJ5992" s="5" t="s">
        <v>3621</v>
      </c>
      <c r="AK5992" s="5" t="s">
        <v>3627</v>
      </c>
    </row>
    <row r="5993" spans="35:37">
      <c r="AI5993" s="468">
        <v>48365</v>
      </c>
      <c r="AJ5993" s="5" t="s">
        <v>3579</v>
      </c>
      <c r="AK5993" s="5" t="s">
        <v>3618</v>
      </c>
    </row>
    <row r="5994" spans="35:37">
      <c r="AI5994" s="468">
        <v>48366</v>
      </c>
      <c r="AJ5994" s="5" t="s">
        <v>3624</v>
      </c>
      <c r="AK5994" s="5" t="s">
        <v>3620</v>
      </c>
    </row>
    <row r="5995" spans="35:37">
      <c r="AI5995" s="468">
        <v>48367</v>
      </c>
      <c r="AJ5995" s="5" t="s">
        <v>3626</v>
      </c>
      <c r="AK5995" s="5" t="s">
        <v>3622</v>
      </c>
    </row>
    <row r="5996" spans="35:37">
      <c r="AI5996" s="468">
        <v>48368</v>
      </c>
      <c r="AJ5996" s="5" t="s">
        <v>3628</v>
      </c>
      <c r="AK5996" s="5" t="s">
        <v>3623</v>
      </c>
    </row>
    <row r="5997" spans="35:37">
      <c r="AI5997" s="468">
        <v>48369</v>
      </c>
      <c r="AJ5997" s="5" t="s">
        <v>3617</v>
      </c>
      <c r="AK5997" s="5" t="s">
        <v>3625</v>
      </c>
    </row>
    <row r="5998" spans="35:37">
      <c r="AI5998" s="468">
        <v>48370</v>
      </c>
      <c r="AJ5998" s="5" t="s">
        <v>3619</v>
      </c>
      <c r="AK5998" s="5" t="s">
        <v>3627</v>
      </c>
    </row>
    <row r="5999" spans="35:37">
      <c r="AI5999" s="468">
        <v>48371</v>
      </c>
      <c r="AJ5999" s="5" t="s">
        <v>3621</v>
      </c>
      <c r="AK5999" s="5" t="s">
        <v>3618</v>
      </c>
    </row>
    <row r="6000" spans="35:37">
      <c r="AI6000" s="468">
        <v>48372</v>
      </c>
      <c r="AJ6000" s="5" t="s">
        <v>3579</v>
      </c>
      <c r="AK6000" s="5" t="s">
        <v>3620</v>
      </c>
    </row>
    <row r="6001" spans="35:37">
      <c r="AI6001" s="468">
        <v>48373</v>
      </c>
      <c r="AJ6001" s="5" t="s">
        <v>3624</v>
      </c>
      <c r="AK6001" s="5" t="s">
        <v>3623</v>
      </c>
    </row>
    <row r="6002" spans="35:37">
      <c r="AI6002" s="468">
        <v>48374</v>
      </c>
      <c r="AJ6002" s="5" t="s">
        <v>3626</v>
      </c>
      <c r="AK6002" s="5" t="s">
        <v>3625</v>
      </c>
    </row>
    <row r="6003" spans="35:37">
      <c r="AI6003" s="468">
        <v>48375</v>
      </c>
      <c r="AJ6003" s="5" t="s">
        <v>3628</v>
      </c>
      <c r="AK6003" s="5" t="s">
        <v>3627</v>
      </c>
    </row>
    <row r="6004" spans="35:37">
      <c r="AI6004" s="468">
        <v>48376</v>
      </c>
      <c r="AJ6004" s="5" t="s">
        <v>3617</v>
      </c>
      <c r="AK6004" s="5" t="s">
        <v>3618</v>
      </c>
    </row>
    <row r="6005" spans="35:37">
      <c r="AI6005" s="468">
        <v>48377</v>
      </c>
      <c r="AJ6005" s="5" t="s">
        <v>3619</v>
      </c>
      <c r="AK6005" s="5" t="s">
        <v>3620</v>
      </c>
    </row>
    <row r="6006" spans="35:37">
      <c r="AI6006" s="468">
        <v>48378</v>
      </c>
      <c r="AJ6006" s="5" t="s">
        <v>3621</v>
      </c>
      <c r="AK6006" s="5" t="s">
        <v>3622</v>
      </c>
    </row>
    <row r="6007" spans="35:37">
      <c r="AI6007" s="468">
        <v>48379</v>
      </c>
      <c r="AJ6007" s="5" t="s">
        <v>3579</v>
      </c>
      <c r="AK6007" s="5" t="s">
        <v>3623</v>
      </c>
    </row>
    <row r="6008" spans="35:37">
      <c r="AI6008" s="468">
        <v>48380</v>
      </c>
      <c r="AJ6008" s="5" t="s">
        <v>3624</v>
      </c>
      <c r="AK6008" s="5" t="s">
        <v>3625</v>
      </c>
    </row>
    <row r="6009" spans="35:37">
      <c r="AI6009" s="468">
        <v>48381</v>
      </c>
      <c r="AJ6009" s="5" t="s">
        <v>3626</v>
      </c>
      <c r="AK6009" s="5" t="s">
        <v>3627</v>
      </c>
    </row>
    <row r="6010" spans="35:37">
      <c r="AI6010" s="468">
        <v>48382</v>
      </c>
      <c r="AJ6010" s="5" t="s">
        <v>3628</v>
      </c>
      <c r="AK6010" s="5" t="s">
        <v>3618</v>
      </c>
    </row>
    <row r="6011" spans="35:37">
      <c r="AI6011" s="468">
        <v>48383</v>
      </c>
      <c r="AJ6011" s="5" t="s">
        <v>3617</v>
      </c>
      <c r="AK6011" s="5" t="s">
        <v>3620</v>
      </c>
    </row>
    <row r="6012" spans="35:37">
      <c r="AI6012" s="468">
        <v>48384</v>
      </c>
      <c r="AJ6012" s="5" t="s">
        <v>3619</v>
      </c>
      <c r="AK6012" s="5" t="s">
        <v>3622</v>
      </c>
    </row>
    <row r="6013" spans="35:37">
      <c r="AI6013" s="468">
        <v>48385</v>
      </c>
      <c r="AJ6013" s="5" t="s">
        <v>3621</v>
      </c>
      <c r="AK6013" s="5" t="s">
        <v>3623</v>
      </c>
    </row>
    <row r="6014" spans="35:37">
      <c r="AI6014" s="468">
        <v>48386</v>
      </c>
      <c r="AJ6014" s="5" t="s">
        <v>3579</v>
      </c>
      <c r="AK6014" s="5" t="s">
        <v>3625</v>
      </c>
    </row>
    <row r="6015" spans="35:37">
      <c r="AI6015" s="468">
        <v>48387</v>
      </c>
      <c r="AJ6015" s="5" t="s">
        <v>3624</v>
      </c>
      <c r="AK6015" s="5" t="s">
        <v>3627</v>
      </c>
    </row>
    <row r="6016" spans="35:37">
      <c r="AI6016" s="468">
        <v>48388</v>
      </c>
      <c r="AJ6016" s="5" t="s">
        <v>3626</v>
      </c>
      <c r="AK6016" s="5" t="s">
        <v>3618</v>
      </c>
    </row>
    <row r="6017" spans="35:37">
      <c r="AI6017" s="468">
        <v>48389</v>
      </c>
      <c r="AJ6017" s="5" t="s">
        <v>3628</v>
      </c>
      <c r="AK6017" s="5" t="s">
        <v>3620</v>
      </c>
    </row>
    <row r="6018" spans="35:37">
      <c r="AI6018" s="468">
        <v>48390</v>
      </c>
      <c r="AJ6018" s="5" t="s">
        <v>3617</v>
      </c>
      <c r="AK6018" s="5" t="s">
        <v>3622</v>
      </c>
    </row>
    <row r="6019" spans="35:37">
      <c r="AI6019" s="468">
        <v>48391</v>
      </c>
      <c r="AJ6019" s="5" t="s">
        <v>3619</v>
      </c>
      <c r="AK6019" s="5" t="s">
        <v>3623</v>
      </c>
    </row>
    <row r="6020" spans="35:37">
      <c r="AI6020" s="468">
        <v>48392</v>
      </c>
      <c r="AJ6020" s="5" t="s">
        <v>3621</v>
      </c>
      <c r="AK6020" s="5" t="s">
        <v>3625</v>
      </c>
    </row>
    <row r="6021" spans="35:37">
      <c r="AI6021" s="468">
        <v>48393</v>
      </c>
      <c r="AJ6021" s="5" t="s">
        <v>3579</v>
      </c>
      <c r="AK6021" s="5" t="s">
        <v>3627</v>
      </c>
    </row>
    <row r="6022" spans="35:37">
      <c r="AI6022" s="468">
        <v>48394</v>
      </c>
      <c r="AJ6022" s="5" t="s">
        <v>3624</v>
      </c>
      <c r="AK6022" s="5" t="s">
        <v>3618</v>
      </c>
    </row>
    <row r="6023" spans="35:37">
      <c r="AI6023" s="468">
        <v>48395</v>
      </c>
      <c r="AJ6023" s="5" t="s">
        <v>3626</v>
      </c>
      <c r="AK6023" s="5" t="s">
        <v>3620</v>
      </c>
    </row>
    <row r="6024" spans="35:37">
      <c r="AI6024" s="468">
        <v>48396</v>
      </c>
      <c r="AJ6024" s="5" t="s">
        <v>3628</v>
      </c>
      <c r="AK6024" s="5" t="s">
        <v>3622</v>
      </c>
    </row>
    <row r="6025" spans="35:37">
      <c r="AI6025" s="468">
        <v>48397</v>
      </c>
      <c r="AJ6025" s="5" t="s">
        <v>3617</v>
      </c>
      <c r="AK6025" s="5" t="s">
        <v>3623</v>
      </c>
    </row>
    <row r="6026" spans="35:37">
      <c r="AI6026" s="468">
        <v>48398</v>
      </c>
      <c r="AJ6026" s="5" t="s">
        <v>3619</v>
      </c>
      <c r="AK6026" s="5" t="s">
        <v>3625</v>
      </c>
    </row>
    <row r="6027" spans="35:37">
      <c r="AI6027" s="468">
        <v>48399</v>
      </c>
      <c r="AJ6027" s="5" t="s">
        <v>3621</v>
      </c>
      <c r="AK6027" s="5" t="s">
        <v>3627</v>
      </c>
    </row>
    <row r="6028" spans="35:37">
      <c r="AI6028" s="468">
        <v>48400</v>
      </c>
      <c r="AJ6028" s="5" t="s">
        <v>3579</v>
      </c>
      <c r="AK6028" s="5" t="s">
        <v>3618</v>
      </c>
    </row>
    <row r="6029" spans="35:37">
      <c r="AI6029" s="468">
        <v>48401</v>
      </c>
      <c r="AJ6029" s="5" t="s">
        <v>3624</v>
      </c>
      <c r="AK6029" s="5" t="s">
        <v>3620</v>
      </c>
    </row>
    <row r="6030" spans="35:37">
      <c r="AI6030" s="468">
        <v>48402</v>
      </c>
      <c r="AJ6030" s="5" t="s">
        <v>3626</v>
      </c>
      <c r="AK6030" s="5" t="s">
        <v>3625</v>
      </c>
    </row>
    <row r="6031" spans="35:37">
      <c r="AI6031" s="468">
        <v>48403</v>
      </c>
      <c r="AJ6031" s="5" t="s">
        <v>3628</v>
      </c>
      <c r="AK6031" s="5" t="s">
        <v>3627</v>
      </c>
    </row>
    <row r="6032" spans="35:37">
      <c r="AI6032" s="468">
        <v>48404</v>
      </c>
      <c r="AJ6032" s="5" t="s">
        <v>3617</v>
      </c>
      <c r="AK6032" s="5" t="s">
        <v>3618</v>
      </c>
    </row>
    <row r="6033" spans="35:37">
      <c r="AI6033" s="468">
        <v>48405</v>
      </c>
      <c r="AJ6033" s="5" t="s">
        <v>3619</v>
      </c>
      <c r="AK6033" s="5" t="s">
        <v>3620</v>
      </c>
    </row>
    <row r="6034" spans="35:37">
      <c r="AI6034" s="468">
        <v>48406</v>
      </c>
      <c r="AJ6034" s="5" t="s">
        <v>3621</v>
      </c>
      <c r="AK6034" s="5" t="s">
        <v>3622</v>
      </c>
    </row>
    <row r="6035" spans="35:37">
      <c r="AI6035" s="468">
        <v>48407</v>
      </c>
      <c r="AJ6035" s="5" t="s">
        <v>3579</v>
      </c>
      <c r="AK6035" s="5" t="s">
        <v>3623</v>
      </c>
    </row>
    <row r="6036" spans="35:37">
      <c r="AI6036" s="468">
        <v>48408</v>
      </c>
      <c r="AJ6036" s="5" t="s">
        <v>3624</v>
      </c>
      <c r="AK6036" s="5" t="s">
        <v>3625</v>
      </c>
    </row>
    <row r="6037" spans="35:37">
      <c r="AI6037" s="468">
        <v>48409</v>
      </c>
      <c r="AJ6037" s="5" t="s">
        <v>3626</v>
      </c>
      <c r="AK6037" s="5" t="s">
        <v>3627</v>
      </c>
    </row>
    <row r="6038" spans="35:37">
      <c r="AI6038" s="468">
        <v>48410</v>
      </c>
      <c r="AJ6038" s="5" t="s">
        <v>3628</v>
      </c>
      <c r="AK6038" s="5" t="s">
        <v>3618</v>
      </c>
    </row>
    <row r="6039" spans="35:37">
      <c r="AI6039" s="468">
        <v>48411</v>
      </c>
      <c r="AJ6039" s="5" t="s">
        <v>3617</v>
      </c>
      <c r="AK6039" s="5" t="s">
        <v>3620</v>
      </c>
    </row>
    <row r="6040" spans="35:37">
      <c r="AI6040" s="468">
        <v>48412</v>
      </c>
      <c r="AJ6040" s="5" t="s">
        <v>3619</v>
      </c>
      <c r="AK6040" s="5" t="s">
        <v>3622</v>
      </c>
    </row>
    <row r="6041" spans="35:37">
      <c r="AI6041" s="468">
        <v>48413</v>
      </c>
      <c r="AJ6041" s="5" t="s">
        <v>3621</v>
      </c>
      <c r="AK6041" s="5" t="s">
        <v>3623</v>
      </c>
    </row>
    <row r="6042" spans="35:37">
      <c r="AI6042" s="468">
        <v>48414</v>
      </c>
      <c r="AJ6042" s="5" t="s">
        <v>3579</v>
      </c>
      <c r="AK6042" s="5" t="s">
        <v>3625</v>
      </c>
    </row>
    <row r="6043" spans="35:37">
      <c r="AI6043" s="468">
        <v>48415</v>
      </c>
      <c r="AJ6043" s="5" t="s">
        <v>3624</v>
      </c>
      <c r="AK6043" s="5" t="s">
        <v>3627</v>
      </c>
    </row>
    <row r="6044" spans="35:37">
      <c r="AI6044" s="468">
        <v>48416</v>
      </c>
      <c r="AJ6044" s="5" t="s">
        <v>3626</v>
      </c>
      <c r="AK6044" s="5" t="s">
        <v>3618</v>
      </c>
    </row>
    <row r="6045" spans="35:37">
      <c r="AI6045" s="468">
        <v>48417</v>
      </c>
      <c r="AJ6045" s="5" t="s">
        <v>3628</v>
      </c>
      <c r="AK6045" s="5" t="s">
        <v>3620</v>
      </c>
    </row>
    <row r="6046" spans="35:37">
      <c r="AI6046" s="468">
        <v>48418</v>
      </c>
      <c r="AJ6046" s="5" t="s">
        <v>3617</v>
      </c>
      <c r="AK6046" s="5" t="s">
        <v>3622</v>
      </c>
    </row>
    <row r="6047" spans="35:37">
      <c r="AI6047" s="468">
        <v>48419</v>
      </c>
      <c r="AJ6047" s="5" t="s">
        <v>3619</v>
      </c>
      <c r="AK6047" s="5" t="s">
        <v>3623</v>
      </c>
    </row>
    <row r="6048" spans="35:37">
      <c r="AI6048" s="468">
        <v>48420</v>
      </c>
      <c r="AJ6048" s="5" t="s">
        <v>3621</v>
      </c>
      <c r="AK6048" s="5" t="s">
        <v>3625</v>
      </c>
    </row>
    <row r="6049" spans="35:37">
      <c r="AI6049" s="468">
        <v>48421</v>
      </c>
      <c r="AJ6049" s="5" t="s">
        <v>3579</v>
      </c>
      <c r="AK6049" s="5" t="s">
        <v>3627</v>
      </c>
    </row>
    <row r="6050" spans="35:37">
      <c r="AI6050" s="468">
        <v>48422</v>
      </c>
      <c r="AJ6050" s="5" t="s">
        <v>3624</v>
      </c>
      <c r="AK6050" s="5" t="s">
        <v>3618</v>
      </c>
    </row>
    <row r="6051" spans="35:37">
      <c r="AI6051" s="468">
        <v>48423</v>
      </c>
      <c r="AJ6051" s="5" t="s">
        <v>3626</v>
      </c>
      <c r="AK6051" s="5" t="s">
        <v>3620</v>
      </c>
    </row>
    <row r="6052" spans="35:37">
      <c r="AI6052" s="468">
        <v>48424</v>
      </c>
      <c r="AJ6052" s="5" t="s">
        <v>3628</v>
      </c>
      <c r="AK6052" s="5" t="s">
        <v>3622</v>
      </c>
    </row>
    <row r="6053" spans="35:37">
      <c r="AI6053" s="468">
        <v>48425</v>
      </c>
      <c r="AJ6053" s="5" t="s">
        <v>3617</v>
      </c>
      <c r="AK6053" s="5" t="s">
        <v>3623</v>
      </c>
    </row>
    <row r="6054" spans="35:37">
      <c r="AI6054" s="468">
        <v>48426</v>
      </c>
      <c r="AJ6054" s="5" t="s">
        <v>3619</v>
      </c>
      <c r="AK6054" s="5" t="s">
        <v>3625</v>
      </c>
    </row>
    <row r="6055" spans="35:37">
      <c r="AI6055" s="468">
        <v>48427</v>
      </c>
      <c r="AJ6055" s="5" t="s">
        <v>3621</v>
      </c>
      <c r="AK6055" s="5" t="s">
        <v>3627</v>
      </c>
    </row>
    <row r="6056" spans="35:37">
      <c r="AI6056" s="468">
        <v>48428</v>
      </c>
      <c r="AJ6056" s="5" t="s">
        <v>3579</v>
      </c>
      <c r="AK6056" s="5" t="s">
        <v>3618</v>
      </c>
    </row>
    <row r="6057" spans="35:37">
      <c r="AI6057" s="468">
        <v>48429</v>
      </c>
      <c r="AJ6057" s="5" t="s">
        <v>3624</v>
      </c>
      <c r="AK6057" s="5" t="s">
        <v>3620</v>
      </c>
    </row>
    <row r="6058" spans="35:37">
      <c r="AI6058" s="468">
        <v>48430</v>
      </c>
      <c r="AJ6058" s="5" t="s">
        <v>3626</v>
      </c>
      <c r="AK6058" s="5" t="s">
        <v>3622</v>
      </c>
    </row>
    <row r="6059" spans="35:37">
      <c r="AI6059" s="468">
        <v>48431</v>
      </c>
      <c r="AJ6059" s="5" t="s">
        <v>3628</v>
      </c>
      <c r="AK6059" s="5" t="s">
        <v>3623</v>
      </c>
    </row>
    <row r="6060" spans="35:37">
      <c r="AI6060" s="468">
        <v>48432</v>
      </c>
      <c r="AJ6060" s="5" t="s">
        <v>3617</v>
      </c>
      <c r="AK6060" s="5" t="s">
        <v>3627</v>
      </c>
    </row>
    <row r="6061" spans="35:37">
      <c r="AI6061" s="468">
        <v>48433</v>
      </c>
      <c r="AJ6061" s="5" t="s">
        <v>3619</v>
      </c>
      <c r="AK6061" s="5" t="s">
        <v>3618</v>
      </c>
    </row>
    <row r="6062" spans="35:37">
      <c r="AI6062" s="468">
        <v>48434</v>
      </c>
      <c r="AJ6062" s="5" t="s">
        <v>3621</v>
      </c>
      <c r="AK6062" s="5" t="s">
        <v>3620</v>
      </c>
    </row>
    <row r="6063" spans="35:37">
      <c r="AI6063" s="468">
        <v>48435</v>
      </c>
      <c r="AJ6063" s="5" t="s">
        <v>3579</v>
      </c>
      <c r="AK6063" s="5" t="s">
        <v>3622</v>
      </c>
    </row>
    <row r="6064" spans="35:37">
      <c r="AI6064" s="468">
        <v>48436</v>
      </c>
      <c r="AJ6064" s="5" t="s">
        <v>3624</v>
      </c>
      <c r="AK6064" s="5" t="s">
        <v>3623</v>
      </c>
    </row>
    <row r="6065" spans="35:37">
      <c r="AI6065" s="468">
        <v>48437</v>
      </c>
      <c r="AJ6065" s="5" t="s">
        <v>3626</v>
      </c>
      <c r="AK6065" s="5" t="s">
        <v>3625</v>
      </c>
    </row>
    <row r="6066" spans="35:37">
      <c r="AI6066" s="468">
        <v>48438</v>
      </c>
      <c r="AJ6066" s="5" t="s">
        <v>3628</v>
      </c>
      <c r="AK6066" s="5" t="s">
        <v>3627</v>
      </c>
    </row>
    <row r="6067" spans="35:37">
      <c r="AI6067" s="468">
        <v>48439</v>
      </c>
      <c r="AJ6067" s="5" t="s">
        <v>3617</v>
      </c>
      <c r="AK6067" s="5" t="s">
        <v>3618</v>
      </c>
    </row>
    <row r="6068" spans="35:37">
      <c r="AI6068" s="468">
        <v>48440</v>
      </c>
      <c r="AJ6068" s="5" t="s">
        <v>3619</v>
      </c>
      <c r="AK6068" s="5" t="s">
        <v>3620</v>
      </c>
    </row>
    <row r="6069" spans="35:37">
      <c r="AI6069" s="468">
        <v>48441</v>
      </c>
      <c r="AJ6069" s="5" t="s">
        <v>3621</v>
      </c>
      <c r="AK6069" s="5" t="s">
        <v>3622</v>
      </c>
    </row>
    <row r="6070" spans="35:37">
      <c r="AI6070" s="468">
        <v>48442</v>
      </c>
      <c r="AJ6070" s="5" t="s">
        <v>3579</v>
      </c>
      <c r="AK6070" s="5" t="s">
        <v>3623</v>
      </c>
    </row>
    <row r="6071" spans="35:37">
      <c r="AI6071" s="468">
        <v>48443</v>
      </c>
      <c r="AJ6071" s="5" t="s">
        <v>3624</v>
      </c>
      <c r="AK6071" s="5" t="s">
        <v>3625</v>
      </c>
    </row>
    <row r="6072" spans="35:37">
      <c r="AI6072" s="468">
        <v>48444</v>
      </c>
      <c r="AJ6072" s="5" t="s">
        <v>3626</v>
      </c>
      <c r="AK6072" s="5" t="s">
        <v>3627</v>
      </c>
    </row>
    <row r="6073" spans="35:37">
      <c r="AI6073" s="468">
        <v>48445</v>
      </c>
      <c r="AJ6073" s="5" t="s">
        <v>3628</v>
      </c>
      <c r="AK6073" s="5" t="s">
        <v>3618</v>
      </c>
    </row>
    <row r="6074" spans="35:37">
      <c r="AI6074" s="468">
        <v>48446</v>
      </c>
      <c r="AJ6074" s="5" t="s">
        <v>3617</v>
      </c>
      <c r="AK6074" s="5" t="s">
        <v>3620</v>
      </c>
    </row>
    <row r="6075" spans="35:37">
      <c r="AI6075" s="468">
        <v>48447</v>
      </c>
      <c r="AJ6075" s="5" t="s">
        <v>3619</v>
      </c>
      <c r="AK6075" s="5" t="s">
        <v>3622</v>
      </c>
    </row>
    <row r="6076" spans="35:37">
      <c r="AI6076" s="468">
        <v>48448</v>
      </c>
      <c r="AJ6076" s="5" t="s">
        <v>3621</v>
      </c>
      <c r="AK6076" s="5" t="s">
        <v>3623</v>
      </c>
    </row>
    <row r="6077" spans="35:37">
      <c r="AI6077" s="468">
        <v>48449</v>
      </c>
      <c r="AJ6077" s="5" t="s">
        <v>3579</v>
      </c>
      <c r="AK6077" s="5" t="s">
        <v>3625</v>
      </c>
    </row>
    <row r="6078" spans="35:37">
      <c r="AI6078" s="468">
        <v>48450</v>
      </c>
      <c r="AJ6078" s="5" t="s">
        <v>3624</v>
      </c>
      <c r="AK6078" s="5" t="s">
        <v>3627</v>
      </c>
    </row>
    <row r="6079" spans="35:37">
      <c r="AI6079" s="468">
        <v>48451</v>
      </c>
      <c r="AJ6079" s="5" t="s">
        <v>3626</v>
      </c>
      <c r="AK6079" s="5" t="s">
        <v>3618</v>
      </c>
    </row>
    <row r="6080" spans="35:37">
      <c r="AI6080" s="468">
        <v>48452</v>
      </c>
      <c r="AJ6080" s="5" t="s">
        <v>3628</v>
      </c>
      <c r="AK6080" s="5" t="s">
        <v>3620</v>
      </c>
    </row>
    <row r="6081" spans="35:37">
      <c r="AI6081" s="468">
        <v>48453</v>
      </c>
      <c r="AJ6081" s="5" t="s">
        <v>3617</v>
      </c>
      <c r="AK6081" s="5" t="s">
        <v>3622</v>
      </c>
    </row>
    <row r="6082" spans="35:37">
      <c r="AI6082" s="468">
        <v>48454</v>
      </c>
      <c r="AJ6082" s="5" t="s">
        <v>3619</v>
      </c>
      <c r="AK6082" s="5" t="s">
        <v>3623</v>
      </c>
    </row>
    <row r="6083" spans="35:37">
      <c r="AI6083" s="468">
        <v>48455</v>
      </c>
      <c r="AJ6083" s="5" t="s">
        <v>3621</v>
      </c>
      <c r="AK6083" s="5" t="s">
        <v>3625</v>
      </c>
    </row>
    <row r="6084" spans="35:37">
      <c r="AI6084" s="468">
        <v>48456</v>
      </c>
      <c r="AJ6084" s="5" t="s">
        <v>3579</v>
      </c>
      <c r="AK6084" s="5" t="s">
        <v>3627</v>
      </c>
    </row>
    <row r="6085" spans="35:37">
      <c r="AI6085" s="468">
        <v>48457</v>
      </c>
      <c r="AJ6085" s="5" t="s">
        <v>3624</v>
      </c>
      <c r="AK6085" s="5" t="s">
        <v>3618</v>
      </c>
    </row>
    <row r="6086" spans="35:37">
      <c r="AI6086" s="468">
        <v>48458</v>
      </c>
      <c r="AJ6086" s="5" t="s">
        <v>3626</v>
      </c>
      <c r="AK6086" s="5" t="s">
        <v>3620</v>
      </c>
    </row>
    <row r="6087" spans="35:37">
      <c r="AI6087" s="468">
        <v>48459</v>
      </c>
      <c r="AJ6087" s="5" t="s">
        <v>3628</v>
      </c>
      <c r="AK6087" s="5" t="s">
        <v>3622</v>
      </c>
    </row>
    <row r="6088" spans="35:37">
      <c r="AI6088" s="468">
        <v>48460</v>
      </c>
      <c r="AJ6088" s="5" t="s">
        <v>3617</v>
      </c>
      <c r="AK6088" s="5" t="s">
        <v>3623</v>
      </c>
    </row>
    <row r="6089" spans="35:37">
      <c r="AI6089" s="468">
        <v>48461</v>
      </c>
      <c r="AJ6089" s="5" t="s">
        <v>3619</v>
      </c>
      <c r="AK6089" s="5" t="s">
        <v>3625</v>
      </c>
    </row>
    <row r="6090" spans="35:37">
      <c r="AI6090" s="468">
        <v>48462</v>
      </c>
      <c r="AJ6090" s="5" t="s">
        <v>3621</v>
      </c>
      <c r="AK6090" s="5" t="s">
        <v>3618</v>
      </c>
    </row>
    <row r="6091" spans="35:37">
      <c r="AI6091" s="468">
        <v>48463</v>
      </c>
      <c r="AJ6091" s="5" t="s">
        <v>3579</v>
      </c>
      <c r="AK6091" s="5" t="s">
        <v>3620</v>
      </c>
    </row>
    <row r="6092" spans="35:37">
      <c r="AI6092" s="468">
        <v>48464</v>
      </c>
      <c r="AJ6092" s="5" t="s">
        <v>3624</v>
      </c>
      <c r="AK6092" s="5" t="s">
        <v>3622</v>
      </c>
    </row>
    <row r="6093" spans="35:37">
      <c r="AI6093" s="468">
        <v>48465</v>
      </c>
      <c r="AJ6093" s="5" t="s">
        <v>3626</v>
      </c>
      <c r="AK6093" s="5" t="s">
        <v>3623</v>
      </c>
    </row>
    <row r="6094" spans="35:37">
      <c r="AI6094" s="468">
        <v>48466</v>
      </c>
      <c r="AJ6094" s="5" t="s">
        <v>3628</v>
      </c>
      <c r="AK6094" s="5" t="s">
        <v>3625</v>
      </c>
    </row>
    <row r="6095" spans="35:37">
      <c r="AI6095" s="468">
        <v>48467</v>
      </c>
      <c r="AJ6095" s="5" t="s">
        <v>3617</v>
      </c>
      <c r="AK6095" s="5" t="s">
        <v>3627</v>
      </c>
    </row>
    <row r="6096" spans="35:37">
      <c r="AI6096" s="468">
        <v>48468</v>
      </c>
      <c r="AJ6096" s="5" t="s">
        <v>3619</v>
      </c>
      <c r="AK6096" s="5" t="s">
        <v>3618</v>
      </c>
    </row>
    <row r="6097" spans="35:37">
      <c r="AI6097" s="468">
        <v>48469</v>
      </c>
      <c r="AJ6097" s="5" t="s">
        <v>3621</v>
      </c>
      <c r="AK6097" s="5" t="s">
        <v>3620</v>
      </c>
    </row>
    <row r="6098" spans="35:37">
      <c r="AI6098" s="468">
        <v>48470</v>
      </c>
      <c r="AJ6098" s="5" t="s">
        <v>3579</v>
      </c>
      <c r="AK6098" s="5" t="s">
        <v>3622</v>
      </c>
    </row>
    <row r="6099" spans="35:37">
      <c r="AI6099" s="468">
        <v>48471</v>
      </c>
      <c r="AJ6099" s="5" t="s">
        <v>3624</v>
      </c>
      <c r="AK6099" s="5" t="s">
        <v>3623</v>
      </c>
    </row>
    <row r="6100" spans="35:37">
      <c r="AI6100" s="468">
        <v>48472</v>
      </c>
      <c r="AJ6100" s="5" t="s">
        <v>3626</v>
      </c>
      <c r="AK6100" s="5" t="s">
        <v>3625</v>
      </c>
    </row>
    <row r="6101" spans="35:37">
      <c r="AI6101" s="468">
        <v>48473</v>
      </c>
      <c r="AJ6101" s="5" t="s">
        <v>3628</v>
      </c>
      <c r="AK6101" s="5" t="s">
        <v>3627</v>
      </c>
    </row>
    <row r="6102" spans="35:37">
      <c r="AI6102" s="468">
        <v>48474</v>
      </c>
      <c r="AJ6102" s="5" t="s">
        <v>3617</v>
      </c>
      <c r="AK6102" s="5" t="s">
        <v>3618</v>
      </c>
    </row>
    <row r="6103" spans="35:37">
      <c r="AI6103" s="468">
        <v>48475</v>
      </c>
      <c r="AJ6103" s="5" t="s">
        <v>3619</v>
      </c>
      <c r="AK6103" s="5" t="s">
        <v>3620</v>
      </c>
    </row>
    <row r="6104" spans="35:37">
      <c r="AI6104" s="468">
        <v>48476</v>
      </c>
      <c r="AJ6104" s="5" t="s">
        <v>3621</v>
      </c>
      <c r="AK6104" s="5" t="s">
        <v>3622</v>
      </c>
    </row>
    <row r="6105" spans="35:37">
      <c r="AI6105" s="468">
        <v>48477</v>
      </c>
      <c r="AJ6105" s="5" t="s">
        <v>3579</v>
      </c>
      <c r="AK6105" s="5" t="s">
        <v>3623</v>
      </c>
    </row>
    <row r="6106" spans="35:37">
      <c r="AI6106" s="468">
        <v>48478</v>
      </c>
      <c r="AJ6106" s="5" t="s">
        <v>3624</v>
      </c>
      <c r="AK6106" s="5" t="s">
        <v>3625</v>
      </c>
    </row>
    <row r="6107" spans="35:37">
      <c r="AI6107" s="468">
        <v>48479</v>
      </c>
      <c r="AJ6107" s="5" t="s">
        <v>3626</v>
      </c>
      <c r="AK6107" s="5" t="s">
        <v>3627</v>
      </c>
    </row>
    <row r="6108" spans="35:37">
      <c r="AI6108" s="468">
        <v>48480</v>
      </c>
      <c r="AJ6108" s="5" t="s">
        <v>3628</v>
      </c>
      <c r="AK6108" s="5" t="s">
        <v>3618</v>
      </c>
    </row>
    <row r="6109" spans="35:37">
      <c r="AI6109" s="468">
        <v>48481</v>
      </c>
      <c r="AJ6109" s="5" t="s">
        <v>3617</v>
      </c>
      <c r="AK6109" s="5" t="s">
        <v>3620</v>
      </c>
    </row>
    <row r="6110" spans="35:37">
      <c r="AI6110" s="468">
        <v>48482</v>
      </c>
      <c r="AJ6110" s="5" t="s">
        <v>3619</v>
      </c>
      <c r="AK6110" s="5" t="s">
        <v>3622</v>
      </c>
    </row>
    <row r="6111" spans="35:37">
      <c r="AI6111" s="468">
        <v>48483</v>
      </c>
      <c r="AJ6111" s="5" t="s">
        <v>3621</v>
      </c>
      <c r="AK6111" s="5" t="s">
        <v>3623</v>
      </c>
    </row>
    <row r="6112" spans="35:37">
      <c r="AI6112" s="468">
        <v>48484</v>
      </c>
      <c r="AJ6112" s="5" t="s">
        <v>3579</v>
      </c>
      <c r="AK6112" s="5" t="s">
        <v>3625</v>
      </c>
    </row>
    <row r="6113" spans="35:37">
      <c r="AI6113" s="468">
        <v>48485</v>
      </c>
      <c r="AJ6113" s="5" t="s">
        <v>3624</v>
      </c>
      <c r="AK6113" s="5" t="s">
        <v>3627</v>
      </c>
    </row>
    <row r="6114" spans="35:37">
      <c r="AI6114" s="468">
        <v>48486</v>
      </c>
      <c r="AJ6114" s="5" t="s">
        <v>3626</v>
      </c>
      <c r="AK6114" s="5" t="s">
        <v>3618</v>
      </c>
    </row>
    <row r="6115" spans="35:37">
      <c r="AI6115" s="468">
        <v>48487</v>
      </c>
      <c r="AJ6115" s="5" t="s">
        <v>3628</v>
      </c>
      <c r="AK6115" s="5" t="s">
        <v>3620</v>
      </c>
    </row>
    <row r="6116" spans="35:37">
      <c r="AI6116" s="468">
        <v>48488</v>
      </c>
      <c r="AJ6116" s="5" t="s">
        <v>3617</v>
      </c>
      <c r="AK6116" s="5" t="s">
        <v>3622</v>
      </c>
    </row>
    <row r="6117" spans="35:37">
      <c r="AI6117" s="468">
        <v>48489</v>
      </c>
      <c r="AJ6117" s="5" t="s">
        <v>3619</v>
      </c>
      <c r="AK6117" s="5" t="s">
        <v>3623</v>
      </c>
    </row>
    <row r="6118" spans="35:37">
      <c r="AI6118" s="468">
        <v>48490</v>
      </c>
      <c r="AJ6118" s="5" t="s">
        <v>3621</v>
      </c>
      <c r="AK6118" s="5" t="s">
        <v>3625</v>
      </c>
    </row>
    <row r="6119" spans="35:37">
      <c r="AI6119" s="468">
        <v>48491</v>
      </c>
      <c r="AJ6119" s="5" t="s">
        <v>3579</v>
      </c>
      <c r="AK6119" s="5" t="s">
        <v>3620</v>
      </c>
    </row>
    <row r="6120" spans="35:37">
      <c r="AI6120" s="468">
        <v>48492</v>
      </c>
      <c r="AJ6120" s="5" t="s">
        <v>3624</v>
      </c>
      <c r="AK6120" s="5" t="s">
        <v>3622</v>
      </c>
    </row>
    <row r="6121" spans="35:37">
      <c r="AI6121" s="468">
        <v>48493</v>
      </c>
      <c r="AJ6121" s="5" t="s">
        <v>3626</v>
      </c>
      <c r="AK6121" s="5" t="s">
        <v>3623</v>
      </c>
    </row>
    <row r="6122" spans="35:37">
      <c r="AI6122" s="468">
        <v>48494</v>
      </c>
      <c r="AJ6122" s="5" t="s">
        <v>3628</v>
      </c>
      <c r="AK6122" s="5" t="s">
        <v>3625</v>
      </c>
    </row>
    <row r="6123" spans="35:37">
      <c r="AI6123" s="468">
        <v>48495</v>
      </c>
      <c r="AJ6123" s="5" t="s">
        <v>3617</v>
      </c>
      <c r="AK6123" s="5" t="s">
        <v>3627</v>
      </c>
    </row>
    <row r="6124" spans="35:37">
      <c r="AI6124" s="468">
        <v>48496</v>
      </c>
      <c r="AJ6124" s="5" t="s">
        <v>3619</v>
      </c>
      <c r="AK6124" s="5" t="s">
        <v>3618</v>
      </c>
    </row>
    <row r="6125" spans="35:37">
      <c r="AI6125" s="468">
        <v>48497</v>
      </c>
      <c r="AJ6125" s="5" t="s">
        <v>3621</v>
      </c>
      <c r="AK6125" s="5" t="s">
        <v>3620</v>
      </c>
    </row>
    <row r="6126" spans="35:37">
      <c r="AI6126" s="468">
        <v>48498</v>
      </c>
      <c r="AJ6126" s="5" t="s">
        <v>3579</v>
      </c>
      <c r="AK6126" s="5" t="s">
        <v>3622</v>
      </c>
    </row>
    <row r="6127" spans="35:37">
      <c r="AI6127" s="468">
        <v>48499</v>
      </c>
      <c r="AJ6127" s="5" t="s">
        <v>3624</v>
      </c>
      <c r="AK6127" s="5" t="s">
        <v>3623</v>
      </c>
    </row>
    <row r="6128" spans="35:37">
      <c r="AI6128" s="468">
        <v>48500</v>
      </c>
      <c r="AJ6128" s="5" t="s">
        <v>3626</v>
      </c>
      <c r="AK6128" s="5" t="s">
        <v>3625</v>
      </c>
    </row>
    <row r="6129" spans="35:37">
      <c r="AI6129" s="468">
        <v>48501</v>
      </c>
      <c r="AJ6129" s="5" t="s">
        <v>3628</v>
      </c>
      <c r="AK6129" s="5" t="s">
        <v>3627</v>
      </c>
    </row>
    <row r="6130" spans="35:37">
      <c r="AI6130" s="468">
        <v>48502</v>
      </c>
      <c r="AJ6130" s="5" t="s">
        <v>3617</v>
      </c>
      <c r="AK6130" s="5" t="s">
        <v>3618</v>
      </c>
    </row>
    <row r="6131" spans="35:37">
      <c r="AI6131" s="468">
        <v>48503</v>
      </c>
      <c r="AJ6131" s="5" t="s">
        <v>3619</v>
      </c>
      <c r="AK6131" s="5" t="s">
        <v>3620</v>
      </c>
    </row>
    <row r="6132" spans="35:37">
      <c r="AI6132" s="468">
        <v>48504</v>
      </c>
      <c r="AJ6132" s="5" t="s">
        <v>3621</v>
      </c>
      <c r="AK6132" s="5" t="s">
        <v>3622</v>
      </c>
    </row>
    <row r="6133" spans="35:37">
      <c r="AI6133" s="468">
        <v>48505</v>
      </c>
      <c r="AJ6133" s="5" t="s">
        <v>3579</v>
      </c>
      <c r="AK6133" s="5" t="s">
        <v>3623</v>
      </c>
    </row>
    <row r="6134" spans="35:37">
      <c r="AI6134" s="468">
        <v>48506</v>
      </c>
      <c r="AJ6134" s="5" t="s">
        <v>3624</v>
      </c>
      <c r="AK6134" s="5" t="s">
        <v>3625</v>
      </c>
    </row>
    <row r="6135" spans="35:37">
      <c r="AI6135" s="468">
        <v>48507</v>
      </c>
      <c r="AJ6135" s="5" t="s">
        <v>3626</v>
      </c>
      <c r="AK6135" s="5" t="s">
        <v>3627</v>
      </c>
    </row>
    <row r="6136" spans="35:37">
      <c r="AI6136" s="468">
        <v>48508</v>
      </c>
      <c r="AJ6136" s="5" t="s">
        <v>3628</v>
      </c>
      <c r="AK6136" s="5" t="s">
        <v>3618</v>
      </c>
    </row>
    <row r="6137" spans="35:37">
      <c r="AI6137" s="468">
        <v>48509</v>
      </c>
      <c r="AJ6137" s="5" t="s">
        <v>3617</v>
      </c>
      <c r="AK6137" s="5" t="s">
        <v>3620</v>
      </c>
    </row>
    <row r="6138" spans="35:37">
      <c r="AI6138" s="468">
        <v>48510</v>
      </c>
      <c r="AJ6138" s="5" t="s">
        <v>3619</v>
      </c>
      <c r="AK6138" s="5" t="s">
        <v>3622</v>
      </c>
    </row>
    <row r="6139" spans="35:37">
      <c r="AI6139" s="468">
        <v>48511</v>
      </c>
      <c r="AJ6139" s="5" t="s">
        <v>3621</v>
      </c>
      <c r="AK6139" s="5" t="s">
        <v>3623</v>
      </c>
    </row>
    <row r="6140" spans="35:37">
      <c r="AI6140" s="468">
        <v>48512</v>
      </c>
      <c r="AJ6140" s="5" t="s">
        <v>3579</v>
      </c>
      <c r="AK6140" s="5" t="s">
        <v>3625</v>
      </c>
    </row>
    <row r="6141" spans="35:37">
      <c r="AI6141" s="468">
        <v>48513</v>
      </c>
      <c r="AJ6141" s="5" t="s">
        <v>3624</v>
      </c>
      <c r="AK6141" s="5" t="s">
        <v>3627</v>
      </c>
    </row>
    <row r="6142" spans="35:37">
      <c r="AI6142" s="468">
        <v>48514</v>
      </c>
      <c r="AJ6142" s="5" t="s">
        <v>3626</v>
      </c>
      <c r="AK6142" s="5" t="s">
        <v>3618</v>
      </c>
    </row>
    <row r="6143" spans="35:37">
      <c r="AI6143" s="468">
        <v>48515</v>
      </c>
      <c r="AJ6143" s="5" t="s">
        <v>3628</v>
      </c>
      <c r="AK6143" s="5" t="s">
        <v>3620</v>
      </c>
    </row>
    <row r="6144" spans="35:37">
      <c r="AI6144" s="468">
        <v>48516</v>
      </c>
      <c r="AJ6144" s="5" t="s">
        <v>3617</v>
      </c>
      <c r="AK6144" s="5" t="s">
        <v>3622</v>
      </c>
    </row>
    <row r="6145" spans="35:37">
      <c r="AI6145" s="468">
        <v>48517</v>
      </c>
      <c r="AJ6145" s="5" t="s">
        <v>3619</v>
      </c>
      <c r="AK6145" s="5" t="s">
        <v>3623</v>
      </c>
    </row>
    <row r="6146" spans="35:37">
      <c r="AI6146" s="468">
        <v>48518</v>
      </c>
      <c r="AJ6146" s="5" t="s">
        <v>3621</v>
      </c>
      <c r="AK6146" s="5" t="s">
        <v>3625</v>
      </c>
    </row>
    <row r="6147" spans="35:37">
      <c r="AI6147" s="468">
        <v>48519</v>
      </c>
      <c r="AJ6147" s="5" t="s">
        <v>3579</v>
      </c>
      <c r="AK6147" s="5" t="s">
        <v>3627</v>
      </c>
    </row>
    <row r="6148" spans="35:37">
      <c r="AI6148" s="468">
        <v>48520</v>
      </c>
      <c r="AJ6148" s="5" t="s">
        <v>3624</v>
      </c>
      <c r="AK6148" s="5" t="s">
        <v>3618</v>
      </c>
    </row>
    <row r="6149" spans="35:37">
      <c r="AI6149" s="468">
        <v>48521</v>
      </c>
      <c r="AJ6149" s="5" t="s">
        <v>3626</v>
      </c>
      <c r="AK6149" s="5" t="s">
        <v>3622</v>
      </c>
    </row>
    <row r="6150" spans="35:37">
      <c r="AI6150" s="468">
        <v>48522</v>
      </c>
      <c r="AJ6150" s="5" t="s">
        <v>3628</v>
      </c>
      <c r="AK6150" s="5" t="s">
        <v>3623</v>
      </c>
    </row>
    <row r="6151" spans="35:37">
      <c r="AI6151" s="468">
        <v>48523</v>
      </c>
      <c r="AJ6151" s="5" t="s">
        <v>3617</v>
      </c>
      <c r="AK6151" s="5" t="s">
        <v>3625</v>
      </c>
    </row>
    <row r="6152" spans="35:37">
      <c r="AI6152" s="468">
        <v>48524</v>
      </c>
      <c r="AJ6152" s="5" t="s">
        <v>3619</v>
      </c>
      <c r="AK6152" s="5" t="s">
        <v>3627</v>
      </c>
    </row>
    <row r="6153" spans="35:37">
      <c r="AI6153" s="468">
        <v>48525</v>
      </c>
      <c r="AJ6153" s="5" t="s">
        <v>3621</v>
      </c>
      <c r="AK6153" s="5" t="s">
        <v>3618</v>
      </c>
    </row>
    <row r="6154" spans="35:37">
      <c r="AI6154" s="468">
        <v>48526</v>
      </c>
      <c r="AJ6154" s="5" t="s">
        <v>3579</v>
      </c>
      <c r="AK6154" s="5" t="s">
        <v>3620</v>
      </c>
    </row>
    <row r="6155" spans="35:37">
      <c r="AI6155" s="468">
        <v>48527</v>
      </c>
      <c r="AJ6155" s="5" t="s">
        <v>3624</v>
      </c>
      <c r="AK6155" s="5" t="s">
        <v>3622</v>
      </c>
    </row>
    <row r="6156" spans="35:37">
      <c r="AI6156" s="468">
        <v>48528</v>
      </c>
      <c r="AJ6156" s="5" t="s">
        <v>3626</v>
      </c>
      <c r="AK6156" s="5" t="s">
        <v>3623</v>
      </c>
    </row>
    <row r="6157" spans="35:37">
      <c r="AI6157" s="468">
        <v>48529</v>
      </c>
      <c r="AJ6157" s="5" t="s">
        <v>3628</v>
      </c>
      <c r="AK6157" s="5" t="s">
        <v>3625</v>
      </c>
    </row>
    <row r="6158" spans="35:37">
      <c r="AI6158" s="468">
        <v>48530</v>
      </c>
      <c r="AJ6158" s="5" t="s">
        <v>3617</v>
      </c>
      <c r="AK6158" s="5" t="s">
        <v>3627</v>
      </c>
    </row>
    <row r="6159" spans="35:37">
      <c r="AI6159" s="468">
        <v>48531</v>
      </c>
      <c r="AJ6159" s="5" t="s">
        <v>3619</v>
      </c>
      <c r="AK6159" s="5" t="s">
        <v>3618</v>
      </c>
    </row>
    <row r="6160" spans="35:37">
      <c r="AI6160" s="468">
        <v>48532</v>
      </c>
      <c r="AJ6160" s="5" t="s">
        <v>3621</v>
      </c>
      <c r="AK6160" s="5" t="s">
        <v>3620</v>
      </c>
    </row>
    <row r="6161" spans="35:37">
      <c r="AI6161" s="468">
        <v>48533</v>
      </c>
      <c r="AJ6161" s="5" t="s">
        <v>3579</v>
      </c>
      <c r="AK6161" s="5" t="s">
        <v>3622</v>
      </c>
    </row>
    <row r="6162" spans="35:37">
      <c r="AI6162" s="468">
        <v>48534</v>
      </c>
      <c r="AJ6162" s="5" t="s">
        <v>3624</v>
      </c>
      <c r="AK6162" s="5" t="s">
        <v>3623</v>
      </c>
    </row>
    <row r="6163" spans="35:37">
      <c r="AI6163" s="468">
        <v>48535</v>
      </c>
      <c r="AJ6163" s="5" t="s">
        <v>3626</v>
      </c>
      <c r="AK6163" s="5" t="s">
        <v>3625</v>
      </c>
    </row>
    <row r="6164" spans="35:37">
      <c r="AI6164" s="468">
        <v>48536</v>
      </c>
      <c r="AJ6164" s="5" t="s">
        <v>3628</v>
      </c>
      <c r="AK6164" s="5" t="s">
        <v>3627</v>
      </c>
    </row>
    <row r="6165" spans="35:37">
      <c r="AI6165" s="468">
        <v>48537</v>
      </c>
      <c r="AJ6165" s="5" t="s">
        <v>3617</v>
      </c>
      <c r="AK6165" s="5" t="s">
        <v>3618</v>
      </c>
    </row>
    <row r="6166" spans="35:37">
      <c r="AI6166" s="468">
        <v>48538</v>
      </c>
      <c r="AJ6166" s="5" t="s">
        <v>3619</v>
      </c>
      <c r="AK6166" s="5" t="s">
        <v>3620</v>
      </c>
    </row>
    <row r="6167" spans="35:37">
      <c r="AI6167" s="468">
        <v>48539</v>
      </c>
      <c r="AJ6167" s="5" t="s">
        <v>3621</v>
      </c>
      <c r="AK6167" s="5" t="s">
        <v>3622</v>
      </c>
    </row>
    <row r="6168" spans="35:37">
      <c r="AI6168" s="468">
        <v>48540</v>
      </c>
      <c r="AJ6168" s="5" t="s">
        <v>3579</v>
      </c>
      <c r="AK6168" s="5" t="s">
        <v>3623</v>
      </c>
    </row>
    <row r="6169" spans="35:37">
      <c r="AI6169" s="468">
        <v>48541</v>
      </c>
      <c r="AJ6169" s="5" t="s">
        <v>3624</v>
      </c>
      <c r="AK6169" s="5" t="s">
        <v>3625</v>
      </c>
    </row>
    <row r="6170" spans="35:37">
      <c r="AI6170" s="468">
        <v>48542</v>
      </c>
      <c r="AJ6170" s="5" t="s">
        <v>3626</v>
      </c>
      <c r="AK6170" s="5" t="s">
        <v>3627</v>
      </c>
    </row>
    <row r="6171" spans="35:37">
      <c r="AI6171" s="468">
        <v>48543</v>
      </c>
      <c r="AJ6171" s="5" t="s">
        <v>3628</v>
      </c>
      <c r="AK6171" s="5" t="s">
        <v>3618</v>
      </c>
    </row>
    <row r="6172" spans="35:37">
      <c r="AI6172" s="468">
        <v>48544</v>
      </c>
      <c r="AJ6172" s="5" t="s">
        <v>3617</v>
      </c>
      <c r="AK6172" s="5" t="s">
        <v>3620</v>
      </c>
    </row>
    <row r="6173" spans="35:37">
      <c r="AI6173" s="468">
        <v>48545</v>
      </c>
      <c r="AJ6173" s="5" t="s">
        <v>3619</v>
      </c>
      <c r="AK6173" s="5" t="s">
        <v>3622</v>
      </c>
    </row>
    <row r="6174" spans="35:37">
      <c r="AI6174" s="468">
        <v>48546</v>
      </c>
      <c r="AJ6174" s="5" t="s">
        <v>3621</v>
      </c>
      <c r="AK6174" s="5" t="s">
        <v>3623</v>
      </c>
    </row>
    <row r="6175" spans="35:37">
      <c r="AI6175" s="468">
        <v>48547</v>
      </c>
      <c r="AJ6175" s="5" t="s">
        <v>3579</v>
      </c>
      <c r="AK6175" s="5" t="s">
        <v>3625</v>
      </c>
    </row>
    <row r="6176" spans="35:37">
      <c r="AI6176" s="468">
        <v>48548</v>
      </c>
      <c r="AJ6176" s="5" t="s">
        <v>3624</v>
      </c>
      <c r="AK6176" s="5" t="s">
        <v>3627</v>
      </c>
    </row>
    <row r="6177" spans="35:37">
      <c r="AI6177" s="468">
        <v>48549</v>
      </c>
      <c r="AJ6177" s="5" t="s">
        <v>3626</v>
      </c>
      <c r="AK6177" s="5" t="s">
        <v>3618</v>
      </c>
    </row>
    <row r="6178" spans="35:37">
      <c r="AI6178" s="468">
        <v>48550</v>
      </c>
      <c r="AJ6178" s="5" t="s">
        <v>3628</v>
      </c>
      <c r="AK6178" s="5" t="s">
        <v>3620</v>
      </c>
    </row>
    <row r="6179" spans="35:37">
      <c r="AI6179" s="468">
        <v>48551</v>
      </c>
      <c r="AJ6179" s="5" t="s">
        <v>3617</v>
      </c>
      <c r="AK6179" s="5" t="s">
        <v>3623</v>
      </c>
    </row>
    <row r="6180" spans="35:37">
      <c r="AI6180" s="468">
        <v>48552</v>
      </c>
      <c r="AJ6180" s="5" t="s">
        <v>3619</v>
      </c>
      <c r="AK6180" s="5" t="s">
        <v>3625</v>
      </c>
    </row>
    <row r="6181" spans="35:37">
      <c r="AI6181" s="468">
        <v>48553</v>
      </c>
      <c r="AJ6181" s="5" t="s">
        <v>3621</v>
      </c>
      <c r="AK6181" s="5" t="s">
        <v>3627</v>
      </c>
    </row>
    <row r="6182" spans="35:37">
      <c r="AI6182" s="468">
        <v>48554</v>
      </c>
      <c r="AJ6182" s="5" t="s">
        <v>3579</v>
      </c>
      <c r="AK6182" s="5" t="s">
        <v>3618</v>
      </c>
    </row>
    <row r="6183" spans="35:37">
      <c r="AI6183" s="468">
        <v>48555</v>
      </c>
      <c r="AJ6183" s="5" t="s">
        <v>3624</v>
      </c>
      <c r="AK6183" s="5" t="s">
        <v>3620</v>
      </c>
    </row>
    <row r="6184" spans="35:37">
      <c r="AI6184" s="468">
        <v>48556</v>
      </c>
      <c r="AJ6184" s="5" t="s">
        <v>3626</v>
      </c>
      <c r="AK6184" s="5" t="s">
        <v>3622</v>
      </c>
    </row>
    <row r="6185" spans="35:37">
      <c r="AI6185" s="468">
        <v>48557</v>
      </c>
      <c r="AJ6185" s="5" t="s">
        <v>3628</v>
      </c>
      <c r="AK6185" s="5" t="s">
        <v>3623</v>
      </c>
    </row>
    <row r="6186" spans="35:37">
      <c r="AI6186" s="468">
        <v>48558</v>
      </c>
      <c r="AJ6186" s="5" t="s">
        <v>3617</v>
      </c>
      <c r="AK6186" s="5" t="s">
        <v>3625</v>
      </c>
    </row>
    <row r="6187" spans="35:37">
      <c r="AI6187" s="468">
        <v>48559</v>
      </c>
      <c r="AJ6187" s="5" t="s">
        <v>3619</v>
      </c>
      <c r="AK6187" s="5" t="s">
        <v>3627</v>
      </c>
    </row>
    <row r="6188" spans="35:37">
      <c r="AI6188" s="468">
        <v>48560</v>
      </c>
      <c r="AJ6188" s="5" t="s">
        <v>3621</v>
      </c>
      <c r="AK6188" s="5" t="s">
        <v>3618</v>
      </c>
    </row>
    <row r="6189" spans="35:37">
      <c r="AI6189" s="468">
        <v>48561</v>
      </c>
      <c r="AJ6189" s="5" t="s">
        <v>3579</v>
      </c>
      <c r="AK6189" s="5" t="s">
        <v>3620</v>
      </c>
    </row>
    <row r="6190" spans="35:37">
      <c r="AI6190" s="468">
        <v>48562</v>
      </c>
      <c r="AJ6190" s="5" t="s">
        <v>3624</v>
      </c>
      <c r="AK6190" s="5" t="s">
        <v>3622</v>
      </c>
    </row>
    <row r="6191" spans="35:37">
      <c r="AI6191" s="468">
        <v>48563</v>
      </c>
      <c r="AJ6191" s="5" t="s">
        <v>3626</v>
      </c>
      <c r="AK6191" s="5" t="s">
        <v>3623</v>
      </c>
    </row>
    <row r="6192" spans="35:37">
      <c r="AI6192" s="468">
        <v>48564</v>
      </c>
      <c r="AJ6192" s="5" t="s">
        <v>3628</v>
      </c>
      <c r="AK6192" s="5" t="s">
        <v>3625</v>
      </c>
    </row>
    <row r="6193" spans="35:37">
      <c r="AI6193" s="468">
        <v>48565</v>
      </c>
      <c r="AJ6193" s="5" t="s">
        <v>3617</v>
      </c>
      <c r="AK6193" s="5" t="s">
        <v>3627</v>
      </c>
    </row>
    <row r="6194" spans="35:37">
      <c r="AI6194" s="468">
        <v>48566</v>
      </c>
      <c r="AJ6194" s="5" t="s">
        <v>3619</v>
      </c>
      <c r="AK6194" s="5" t="s">
        <v>3618</v>
      </c>
    </row>
    <row r="6195" spans="35:37">
      <c r="AI6195" s="468">
        <v>48567</v>
      </c>
      <c r="AJ6195" s="5" t="s">
        <v>3621</v>
      </c>
      <c r="AK6195" s="5" t="s">
        <v>3620</v>
      </c>
    </row>
    <row r="6196" spans="35:37">
      <c r="AI6196" s="468">
        <v>48568</v>
      </c>
      <c r="AJ6196" s="5" t="s">
        <v>3579</v>
      </c>
      <c r="AK6196" s="5" t="s">
        <v>3622</v>
      </c>
    </row>
    <row r="6197" spans="35:37">
      <c r="AI6197" s="468">
        <v>48569</v>
      </c>
      <c r="AJ6197" s="5" t="s">
        <v>3624</v>
      </c>
      <c r="AK6197" s="5" t="s">
        <v>3623</v>
      </c>
    </row>
    <row r="6198" spans="35:37">
      <c r="AI6198" s="468">
        <v>48570</v>
      </c>
      <c r="AJ6198" s="5" t="s">
        <v>3626</v>
      </c>
      <c r="AK6198" s="5" t="s">
        <v>3625</v>
      </c>
    </row>
    <row r="6199" spans="35:37">
      <c r="AI6199" s="468">
        <v>48571</v>
      </c>
      <c r="AJ6199" s="5" t="s">
        <v>3628</v>
      </c>
      <c r="AK6199" s="5" t="s">
        <v>3627</v>
      </c>
    </row>
    <row r="6200" spans="35:37">
      <c r="AI6200" s="468">
        <v>48572</v>
      </c>
      <c r="AJ6200" s="5" t="s">
        <v>3617</v>
      </c>
      <c r="AK6200" s="5" t="s">
        <v>3618</v>
      </c>
    </row>
    <row r="6201" spans="35:37">
      <c r="AI6201" s="468">
        <v>48573</v>
      </c>
      <c r="AJ6201" s="5" t="s">
        <v>3619</v>
      </c>
      <c r="AK6201" s="5" t="s">
        <v>3620</v>
      </c>
    </row>
    <row r="6202" spans="35:37">
      <c r="AI6202" s="468">
        <v>48574</v>
      </c>
      <c r="AJ6202" s="5" t="s">
        <v>3621</v>
      </c>
      <c r="AK6202" s="5" t="s">
        <v>3622</v>
      </c>
    </row>
    <row r="6203" spans="35:37">
      <c r="AI6203" s="468">
        <v>48575</v>
      </c>
      <c r="AJ6203" s="5" t="s">
        <v>3579</v>
      </c>
      <c r="AK6203" s="5" t="s">
        <v>3623</v>
      </c>
    </row>
    <row r="6204" spans="35:37">
      <c r="AI6204" s="468">
        <v>48576</v>
      </c>
      <c r="AJ6204" s="5" t="s">
        <v>3624</v>
      </c>
      <c r="AK6204" s="5" t="s">
        <v>3625</v>
      </c>
    </row>
    <row r="6205" spans="35:37">
      <c r="AI6205" s="468">
        <v>48577</v>
      </c>
      <c r="AJ6205" s="5" t="s">
        <v>3626</v>
      </c>
      <c r="AK6205" s="5" t="s">
        <v>3627</v>
      </c>
    </row>
    <row r="6206" spans="35:37">
      <c r="AI6206" s="468">
        <v>48578</v>
      </c>
      <c r="AJ6206" s="5" t="s">
        <v>3628</v>
      </c>
      <c r="AK6206" s="5" t="s">
        <v>3618</v>
      </c>
    </row>
    <row r="6207" spans="35:37">
      <c r="AI6207" s="468">
        <v>48579</v>
      </c>
      <c r="AJ6207" s="5" t="s">
        <v>3617</v>
      </c>
      <c r="AK6207" s="5" t="s">
        <v>3620</v>
      </c>
    </row>
    <row r="6208" spans="35:37">
      <c r="AI6208" s="468">
        <v>48580</v>
      </c>
      <c r="AJ6208" s="5" t="s">
        <v>3619</v>
      </c>
      <c r="AK6208" s="5" t="s">
        <v>3625</v>
      </c>
    </row>
    <row r="6209" spans="35:37">
      <c r="AI6209" s="468">
        <v>48581</v>
      </c>
      <c r="AJ6209" s="5" t="s">
        <v>3621</v>
      </c>
      <c r="AK6209" s="5" t="s">
        <v>3627</v>
      </c>
    </row>
    <row r="6210" spans="35:37">
      <c r="AI6210" s="468">
        <v>48582</v>
      </c>
      <c r="AJ6210" s="5" t="s">
        <v>3579</v>
      </c>
      <c r="AK6210" s="5" t="s">
        <v>3618</v>
      </c>
    </row>
    <row r="6211" spans="35:37">
      <c r="AI6211" s="468">
        <v>48583</v>
      </c>
      <c r="AJ6211" s="5" t="s">
        <v>3624</v>
      </c>
      <c r="AK6211" s="5" t="s">
        <v>3620</v>
      </c>
    </row>
    <row r="6212" spans="35:37">
      <c r="AI6212" s="468">
        <v>48584</v>
      </c>
      <c r="AJ6212" s="5" t="s">
        <v>3626</v>
      </c>
      <c r="AK6212" s="5" t="s">
        <v>3622</v>
      </c>
    </row>
    <row r="6213" spans="35:37">
      <c r="AI6213" s="468">
        <v>48585</v>
      </c>
      <c r="AJ6213" s="5" t="s">
        <v>3628</v>
      </c>
      <c r="AK6213" s="5" t="s">
        <v>3623</v>
      </c>
    </row>
    <row r="6214" spans="35:37">
      <c r="AI6214" s="468">
        <v>48586</v>
      </c>
      <c r="AJ6214" s="5" t="s">
        <v>3617</v>
      </c>
      <c r="AK6214" s="5" t="s">
        <v>3625</v>
      </c>
    </row>
    <row r="6215" spans="35:37">
      <c r="AI6215" s="468">
        <v>48587</v>
      </c>
      <c r="AJ6215" s="5" t="s">
        <v>3619</v>
      </c>
      <c r="AK6215" s="5" t="s">
        <v>3627</v>
      </c>
    </row>
    <row r="6216" spans="35:37">
      <c r="AI6216" s="468">
        <v>48588</v>
      </c>
      <c r="AJ6216" s="5" t="s">
        <v>3621</v>
      </c>
      <c r="AK6216" s="5" t="s">
        <v>3618</v>
      </c>
    </row>
    <row r="6217" spans="35:37">
      <c r="AI6217" s="468">
        <v>48589</v>
      </c>
      <c r="AJ6217" s="5" t="s">
        <v>3579</v>
      </c>
      <c r="AK6217" s="5" t="s">
        <v>3620</v>
      </c>
    </row>
    <row r="6218" spans="35:37">
      <c r="AI6218" s="468">
        <v>48590</v>
      </c>
      <c r="AJ6218" s="5" t="s">
        <v>3624</v>
      </c>
      <c r="AK6218" s="5" t="s">
        <v>3622</v>
      </c>
    </row>
    <row r="6219" spans="35:37">
      <c r="AI6219" s="468">
        <v>48591</v>
      </c>
      <c r="AJ6219" s="5" t="s">
        <v>3626</v>
      </c>
      <c r="AK6219" s="5" t="s">
        <v>3623</v>
      </c>
    </row>
    <row r="6220" spans="35:37">
      <c r="AI6220" s="468">
        <v>48592</v>
      </c>
      <c r="AJ6220" s="5" t="s">
        <v>3628</v>
      </c>
      <c r="AK6220" s="5" t="s">
        <v>3625</v>
      </c>
    </row>
    <row r="6221" spans="35:37">
      <c r="AI6221" s="468">
        <v>48593</v>
      </c>
      <c r="AJ6221" s="5" t="s">
        <v>3617</v>
      </c>
      <c r="AK6221" s="5" t="s">
        <v>3627</v>
      </c>
    </row>
    <row r="6222" spans="35:37">
      <c r="AI6222" s="468">
        <v>48594</v>
      </c>
      <c r="AJ6222" s="5" t="s">
        <v>3619</v>
      </c>
      <c r="AK6222" s="5" t="s">
        <v>3618</v>
      </c>
    </row>
    <row r="6223" spans="35:37">
      <c r="AI6223" s="468">
        <v>48595</v>
      </c>
      <c r="AJ6223" s="5" t="s">
        <v>3621</v>
      </c>
      <c r="AK6223" s="5" t="s">
        <v>3620</v>
      </c>
    </row>
    <row r="6224" spans="35:37">
      <c r="AI6224" s="468">
        <v>48596</v>
      </c>
      <c r="AJ6224" s="5" t="s">
        <v>3579</v>
      </c>
      <c r="AK6224" s="5" t="s">
        <v>3622</v>
      </c>
    </row>
    <row r="6225" spans="35:37">
      <c r="AI6225" s="468">
        <v>48597</v>
      </c>
      <c r="AJ6225" s="5" t="s">
        <v>3624</v>
      </c>
      <c r="AK6225" s="5" t="s">
        <v>3623</v>
      </c>
    </row>
    <row r="6226" spans="35:37">
      <c r="AI6226" s="468">
        <v>48598</v>
      </c>
      <c r="AJ6226" s="5" t="s">
        <v>3626</v>
      </c>
      <c r="AK6226" s="5" t="s">
        <v>3625</v>
      </c>
    </row>
    <row r="6227" spans="35:37">
      <c r="AI6227" s="468">
        <v>48599</v>
      </c>
      <c r="AJ6227" s="5" t="s">
        <v>3628</v>
      </c>
      <c r="AK6227" s="5" t="s">
        <v>3627</v>
      </c>
    </row>
    <row r="6228" spans="35:37">
      <c r="AI6228" s="468">
        <v>48600</v>
      </c>
      <c r="AJ6228" s="5" t="s">
        <v>3617</v>
      </c>
      <c r="AK6228" s="5" t="s">
        <v>3618</v>
      </c>
    </row>
    <row r="6229" spans="35:37">
      <c r="AI6229" s="468">
        <v>48601</v>
      </c>
      <c r="AJ6229" s="5" t="s">
        <v>3619</v>
      </c>
      <c r="AK6229" s="5" t="s">
        <v>3620</v>
      </c>
    </row>
    <row r="6230" spans="35:37">
      <c r="AI6230" s="468">
        <v>48602</v>
      </c>
      <c r="AJ6230" s="5" t="s">
        <v>3621</v>
      </c>
      <c r="AK6230" s="5" t="s">
        <v>3622</v>
      </c>
    </row>
    <row r="6231" spans="35:37">
      <c r="AI6231" s="468">
        <v>48603</v>
      </c>
      <c r="AJ6231" s="5" t="s">
        <v>3579</v>
      </c>
      <c r="AK6231" s="5" t="s">
        <v>3623</v>
      </c>
    </row>
    <row r="6232" spans="35:37">
      <c r="AI6232" s="468">
        <v>48604</v>
      </c>
      <c r="AJ6232" s="5" t="s">
        <v>3624</v>
      </c>
      <c r="AK6232" s="5" t="s">
        <v>3625</v>
      </c>
    </row>
    <row r="6233" spans="35:37">
      <c r="AI6233" s="468">
        <v>48605</v>
      </c>
      <c r="AJ6233" s="5" t="s">
        <v>3626</v>
      </c>
      <c r="AK6233" s="5" t="s">
        <v>3627</v>
      </c>
    </row>
    <row r="6234" spans="35:37">
      <c r="AI6234" s="468">
        <v>48606</v>
      </c>
      <c r="AJ6234" s="5" t="s">
        <v>3628</v>
      </c>
      <c r="AK6234" s="5" t="s">
        <v>3618</v>
      </c>
    </row>
    <row r="6235" spans="35:37">
      <c r="AI6235" s="468">
        <v>48607</v>
      </c>
      <c r="AJ6235" s="5" t="s">
        <v>3617</v>
      </c>
      <c r="AK6235" s="5" t="s">
        <v>3620</v>
      </c>
    </row>
    <row r="6236" spans="35:37">
      <c r="AI6236" s="468">
        <v>48608</v>
      </c>
      <c r="AJ6236" s="5" t="s">
        <v>3619</v>
      </c>
      <c r="AK6236" s="5" t="s">
        <v>3622</v>
      </c>
    </row>
    <row r="6237" spans="35:37">
      <c r="AI6237" s="468">
        <v>48609</v>
      </c>
      <c r="AJ6237" s="5" t="s">
        <v>3621</v>
      </c>
      <c r="AK6237" s="5" t="s">
        <v>3623</v>
      </c>
    </row>
    <row r="6238" spans="35:37">
      <c r="AI6238" s="468">
        <v>48610</v>
      </c>
      <c r="AJ6238" s="5" t="s">
        <v>3579</v>
      </c>
      <c r="AK6238" s="5" t="s">
        <v>3627</v>
      </c>
    </row>
    <row r="6239" spans="35:37">
      <c r="AI6239" s="468">
        <v>48611</v>
      </c>
      <c r="AJ6239" s="5" t="s">
        <v>3624</v>
      </c>
      <c r="AK6239" s="5" t="s">
        <v>3618</v>
      </c>
    </row>
    <row r="6240" spans="35:37">
      <c r="AI6240" s="468">
        <v>48612</v>
      </c>
      <c r="AJ6240" s="5" t="s">
        <v>3626</v>
      </c>
      <c r="AK6240" s="5" t="s">
        <v>3620</v>
      </c>
    </row>
    <row r="6241" spans="35:37">
      <c r="AI6241" s="468">
        <v>48613</v>
      </c>
      <c r="AJ6241" s="5" t="s">
        <v>3628</v>
      </c>
      <c r="AK6241" s="5" t="s">
        <v>3622</v>
      </c>
    </row>
    <row r="6242" spans="35:37">
      <c r="AI6242" s="468">
        <v>48614</v>
      </c>
      <c r="AJ6242" s="5" t="s">
        <v>3617</v>
      </c>
      <c r="AK6242" s="5" t="s">
        <v>3623</v>
      </c>
    </row>
    <row r="6243" spans="35:37">
      <c r="AI6243" s="468">
        <v>48615</v>
      </c>
      <c r="AJ6243" s="5" t="s">
        <v>3619</v>
      </c>
      <c r="AK6243" s="5" t="s">
        <v>3625</v>
      </c>
    </row>
    <row r="6244" spans="35:37">
      <c r="AI6244" s="468">
        <v>48616</v>
      </c>
      <c r="AJ6244" s="5" t="s">
        <v>3621</v>
      </c>
      <c r="AK6244" s="5" t="s">
        <v>3627</v>
      </c>
    </row>
    <row r="6245" spans="35:37">
      <c r="AI6245" s="468">
        <v>48617</v>
      </c>
      <c r="AJ6245" s="5" t="s">
        <v>3579</v>
      </c>
      <c r="AK6245" s="5" t="s">
        <v>3618</v>
      </c>
    </row>
    <row r="6246" spans="35:37">
      <c r="AI6246" s="468">
        <v>48618</v>
      </c>
      <c r="AJ6246" s="5" t="s">
        <v>3624</v>
      </c>
      <c r="AK6246" s="5" t="s">
        <v>3620</v>
      </c>
    </row>
    <row r="6247" spans="35:37">
      <c r="AI6247" s="468">
        <v>48619</v>
      </c>
      <c r="AJ6247" s="5" t="s">
        <v>3626</v>
      </c>
      <c r="AK6247" s="5" t="s">
        <v>3622</v>
      </c>
    </row>
    <row r="6248" spans="35:37">
      <c r="AI6248" s="468">
        <v>48620</v>
      </c>
      <c r="AJ6248" s="5" t="s">
        <v>3628</v>
      </c>
      <c r="AK6248" s="5" t="s">
        <v>3623</v>
      </c>
    </row>
    <row r="6249" spans="35:37">
      <c r="AI6249" s="468">
        <v>48621</v>
      </c>
      <c r="AJ6249" s="5" t="s">
        <v>3617</v>
      </c>
      <c r="AK6249" s="5" t="s">
        <v>3625</v>
      </c>
    </row>
    <row r="6250" spans="35:37">
      <c r="AI6250" s="468">
        <v>48622</v>
      </c>
      <c r="AJ6250" s="5" t="s">
        <v>3619</v>
      </c>
      <c r="AK6250" s="5" t="s">
        <v>3627</v>
      </c>
    </row>
    <row r="6251" spans="35:37">
      <c r="AI6251" s="468">
        <v>48623</v>
      </c>
      <c r="AJ6251" s="5" t="s">
        <v>3621</v>
      </c>
      <c r="AK6251" s="5" t="s">
        <v>3618</v>
      </c>
    </row>
    <row r="6252" spans="35:37">
      <c r="AI6252" s="468">
        <v>48624</v>
      </c>
      <c r="AJ6252" s="5" t="s">
        <v>3579</v>
      </c>
      <c r="AK6252" s="5" t="s">
        <v>3620</v>
      </c>
    </row>
    <row r="6253" spans="35:37">
      <c r="AI6253" s="468">
        <v>48625</v>
      </c>
      <c r="AJ6253" s="5" t="s">
        <v>3624</v>
      </c>
      <c r="AK6253" s="5" t="s">
        <v>3622</v>
      </c>
    </row>
    <row r="6254" spans="35:37">
      <c r="AI6254" s="468">
        <v>48626</v>
      </c>
      <c r="AJ6254" s="5" t="s">
        <v>3626</v>
      </c>
      <c r="AK6254" s="5" t="s">
        <v>3623</v>
      </c>
    </row>
    <row r="6255" spans="35:37">
      <c r="AI6255" s="468">
        <v>48627</v>
      </c>
      <c r="AJ6255" s="5" t="s">
        <v>3628</v>
      </c>
      <c r="AK6255" s="5" t="s">
        <v>3625</v>
      </c>
    </row>
    <row r="6256" spans="35:37">
      <c r="AI6256" s="468">
        <v>48628</v>
      </c>
      <c r="AJ6256" s="5" t="s">
        <v>3617</v>
      </c>
      <c r="AK6256" s="5" t="s">
        <v>3627</v>
      </c>
    </row>
    <row r="6257" spans="35:37">
      <c r="AI6257" s="468">
        <v>48629</v>
      </c>
      <c r="AJ6257" s="5" t="s">
        <v>3619</v>
      </c>
      <c r="AK6257" s="5" t="s">
        <v>3618</v>
      </c>
    </row>
    <row r="6258" spans="35:37">
      <c r="AI6258" s="468">
        <v>48630</v>
      </c>
      <c r="AJ6258" s="5" t="s">
        <v>3621</v>
      </c>
      <c r="AK6258" s="5" t="s">
        <v>3620</v>
      </c>
    </row>
    <row r="6259" spans="35:37">
      <c r="AI6259" s="468">
        <v>48631</v>
      </c>
      <c r="AJ6259" s="5" t="s">
        <v>3579</v>
      </c>
      <c r="AK6259" s="5" t="s">
        <v>3622</v>
      </c>
    </row>
    <row r="6260" spans="35:37">
      <c r="AI6260" s="468">
        <v>48632</v>
      </c>
      <c r="AJ6260" s="5" t="s">
        <v>3624</v>
      </c>
      <c r="AK6260" s="5" t="s">
        <v>3623</v>
      </c>
    </row>
    <row r="6261" spans="35:37">
      <c r="AI6261" s="468">
        <v>48633</v>
      </c>
      <c r="AJ6261" s="5" t="s">
        <v>3626</v>
      </c>
      <c r="AK6261" s="5" t="s">
        <v>3625</v>
      </c>
    </row>
    <row r="6262" spans="35:37">
      <c r="AI6262" s="468">
        <v>48634</v>
      </c>
      <c r="AJ6262" s="5" t="s">
        <v>3628</v>
      </c>
      <c r="AK6262" s="5" t="s">
        <v>3627</v>
      </c>
    </row>
    <row r="6263" spans="35:37">
      <c r="AI6263" s="468">
        <v>48635</v>
      </c>
      <c r="AJ6263" s="5" t="s">
        <v>3617</v>
      </c>
      <c r="AK6263" s="5" t="s">
        <v>3618</v>
      </c>
    </row>
    <row r="6264" spans="35:37">
      <c r="AI6264" s="468">
        <v>48636</v>
      </c>
      <c r="AJ6264" s="5" t="s">
        <v>3619</v>
      </c>
      <c r="AK6264" s="5" t="s">
        <v>3620</v>
      </c>
    </row>
    <row r="6265" spans="35:37">
      <c r="AI6265" s="468">
        <v>48637</v>
      </c>
      <c r="AJ6265" s="5" t="s">
        <v>3621</v>
      </c>
      <c r="AK6265" s="5" t="s">
        <v>3622</v>
      </c>
    </row>
    <row r="6266" spans="35:37">
      <c r="AI6266" s="468">
        <v>48638</v>
      </c>
      <c r="AJ6266" s="5" t="s">
        <v>3579</v>
      </c>
      <c r="AK6266" s="5" t="s">
        <v>3623</v>
      </c>
    </row>
    <row r="6267" spans="35:37">
      <c r="AI6267" s="468">
        <v>48639</v>
      </c>
      <c r="AJ6267" s="5" t="s">
        <v>3624</v>
      </c>
      <c r="AK6267" s="5" t="s">
        <v>3618</v>
      </c>
    </row>
    <row r="6268" spans="35:37">
      <c r="AI6268" s="468">
        <v>48640</v>
      </c>
      <c r="AJ6268" s="5" t="s">
        <v>3626</v>
      </c>
      <c r="AK6268" s="5" t="s">
        <v>3620</v>
      </c>
    </row>
    <row r="6269" spans="35:37">
      <c r="AI6269" s="468">
        <v>48641</v>
      </c>
      <c r="AJ6269" s="5" t="s">
        <v>3628</v>
      </c>
      <c r="AK6269" s="5" t="s">
        <v>3622</v>
      </c>
    </row>
    <row r="6270" spans="35:37">
      <c r="AI6270" s="468">
        <v>48642</v>
      </c>
      <c r="AJ6270" s="5" t="s">
        <v>3617</v>
      </c>
      <c r="AK6270" s="5" t="s">
        <v>3623</v>
      </c>
    </row>
    <row r="6271" spans="35:37">
      <c r="AI6271" s="468">
        <v>48643</v>
      </c>
      <c r="AJ6271" s="5" t="s">
        <v>3619</v>
      </c>
      <c r="AK6271" s="5" t="s">
        <v>3625</v>
      </c>
    </row>
    <row r="6272" spans="35:37">
      <c r="AI6272" s="468">
        <v>48644</v>
      </c>
      <c r="AJ6272" s="5" t="s">
        <v>3621</v>
      </c>
      <c r="AK6272" s="5" t="s">
        <v>3627</v>
      </c>
    </row>
    <row r="6273" spans="35:37">
      <c r="AI6273" s="468">
        <v>48645</v>
      </c>
      <c r="AJ6273" s="5" t="s">
        <v>3579</v>
      </c>
      <c r="AK6273" s="5" t="s">
        <v>3618</v>
      </c>
    </row>
    <row r="6274" spans="35:37">
      <c r="AI6274" s="468">
        <v>48646</v>
      </c>
      <c r="AJ6274" s="5" t="s">
        <v>3624</v>
      </c>
      <c r="AK6274" s="5" t="s">
        <v>3620</v>
      </c>
    </row>
    <row r="6275" spans="35:37">
      <c r="AI6275" s="468">
        <v>48647</v>
      </c>
      <c r="AJ6275" s="5" t="s">
        <v>3626</v>
      </c>
      <c r="AK6275" s="5" t="s">
        <v>3622</v>
      </c>
    </row>
    <row r="6276" spans="35:37">
      <c r="AI6276" s="468">
        <v>48648</v>
      </c>
      <c r="AJ6276" s="5" t="s">
        <v>3628</v>
      </c>
      <c r="AK6276" s="5" t="s">
        <v>3623</v>
      </c>
    </row>
    <row r="6277" spans="35:37">
      <c r="AI6277" s="468">
        <v>48649</v>
      </c>
      <c r="AJ6277" s="5" t="s">
        <v>3617</v>
      </c>
      <c r="AK6277" s="5" t="s">
        <v>3625</v>
      </c>
    </row>
    <row r="6278" spans="35:37">
      <c r="AI6278" s="468">
        <v>48650</v>
      </c>
      <c r="AJ6278" s="5" t="s">
        <v>3619</v>
      </c>
      <c r="AK6278" s="5" t="s">
        <v>3627</v>
      </c>
    </row>
    <row r="6279" spans="35:37">
      <c r="AI6279" s="468">
        <v>48651</v>
      </c>
      <c r="AJ6279" s="5" t="s">
        <v>3621</v>
      </c>
      <c r="AK6279" s="5" t="s">
        <v>3618</v>
      </c>
    </row>
    <row r="6280" spans="35:37">
      <c r="AI6280" s="468">
        <v>48652</v>
      </c>
      <c r="AJ6280" s="5" t="s">
        <v>3579</v>
      </c>
      <c r="AK6280" s="5" t="s">
        <v>3620</v>
      </c>
    </row>
    <row r="6281" spans="35:37">
      <c r="AI6281" s="468">
        <v>48653</v>
      </c>
      <c r="AJ6281" s="5" t="s">
        <v>3624</v>
      </c>
      <c r="AK6281" s="5" t="s">
        <v>3622</v>
      </c>
    </row>
    <row r="6282" spans="35:37">
      <c r="AI6282" s="468">
        <v>48654</v>
      </c>
      <c r="AJ6282" s="5" t="s">
        <v>3626</v>
      </c>
      <c r="AK6282" s="5" t="s">
        <v>3623</v>
      </c>
    </row>
    <row r="6283" spans="35:37">
      <c r="AI6283" s="468">
        <v>48655</v>
      </c>
      <c r="AJ6283" s="5" t="s">
        <v>3628</v>
      </c>
      <c r="AK6283" s="5" t="s">
        <v>3625</v>
      </c>
    </row>
    <row r="6284" spans="35:37">
      <c r="AI6284" s="468">
        <v>48656</v>
      </c>
      <c r="AJ6284" s="5" t="s">
        <v>3617</v>
      </c>
      <c r="AK6284" s="5" t="s">
        <v>3627</v>
      </c>
    </row>
    <row r="6285" spans="35:37">
      <c r="AI6285" s="468">
        <v>48657</v>
      </c>
      <c r="AJ6285" s="5" t="s">
        <v>3619</v>
      </c>
      <c r="AK6285" s="5" t="s">
        <v>3618</v>
      </c>
    </row>
    <row r="6286" spans="35:37">
      <c r="AI6286" s="468">
        <v>48658</v>
      </c>
      <c r="AJ6286" s="5" t="s">
        <v>3621</v>
      </c>
      <c r="AK6286" s="5" t="s">
        <v>3620</v>
      </c>
    </row>
    <row r="6287" spans="35:37">
      <c r="AI6287" s="468">
        <v>48659</v>
      </c>
      <c r="AJ6287" s="5" t="s">
        <v>3579</v>
      </c>
      <c r="AK6287" s="5" t="s">
        <v>3622</v>
      </c>
    </row>
    <row r="6288" spans="35:37">
      <c r="AI6288" s="468">
        <v>48660</v>
      </c>
      <c r="AJ6288" s="5" t="s">
        <v>3624</v>
      </c>
      <c r="AK6288" s="5" t="s">
        <v>3623</v>
      </c>
    </row>
    <row r="6289" spans="35:37">
      <c r="AI6289" s="468">
        <v>48661</v>
      </c>
      <c r="AJ6289" s="5" t="s">
        <v>3626</v>
      </c>
      <c r="AK6289" s="5" t="s">
        <v>3625</v>
      </c>
    </row>
    <row r="6290" spans="35:37">
      <c r="AI6290" s="468">
        <v>48662</v>
      </c>
      <c r="AJ6290" s="5" t="s">
        <v>3628</v>
      </c>
      <c r="AK6290" s="5" t="s">
        <v>3627</v>
      </c>
    </row>
    <row r="6291" spans="35:37">
      <c r="AI6291" s="468">
        <v>48663</v>
      </c>
      <c r="AJ6291" s="5" t="s">
        <v>3617</v>
      </c>
      <c r="AK6291" s="5" t="s">
        <v>3618</v>
      </c>
    </row>
    <row r="6292" spans="35:37">
      <c r="AI6292" s="468">
        <v>48664</v>
      </c>
      <c r="AJ6292" s="5" t="s">
        <v>3619</v>
      </c>
      <c r="AK6292" s="5" t="s">
        <v>3620</v>
      </c>
    </row>
    <row r="6293" spans="35:37">
      <c r="AI6293" s="468">
        <v>48665</v>
      </c>
      <c r="AJ6293" s="5" t="s">
        <v>3621</v>
      </c>
      <c r="AK6293" s="5" t="s">
        <v>3622</v>
      </c>
    </row>
    <row r="6294" spans="35:37">
      <c r="AI6294" s="468">
        <v>48666</v>
      </c>
      <c r="AJ6294" s="5" t="s">
        <v>3579</v>
      </c>
      <c r="AK6294" s="5" t="s">
        <v>3623</v>
      </c>
    </row>
    <row r="6295" spans="35:37">
      <c r="AI6295" s="468">
        <v>48667</v>
      </c>
      <c r="AJ6295" s="5" t="s">
        <v>3624</v>
      </c>
      <c r="AK6295" s="5" t="s">
        <v>3625</v>
      </c>
    </row>
    <row r="6296" spans="35:37">
      <c r="AI6296" s="468">
        <v>48668</v>
      </c>
      <c r="AJ6296" s="5" t="s">
        <v>3626</v>
      </c>
      <c r="AK6296" s="5" t="s">
        <v>3627</v>
      </c>
    </row>
    <row r="6297" spans="35:37">
      <c r="AI6297" s="468">
        <v>48669</v>
      </c>
      <c r="AJ6297" s="5" t="s">
        <v>3628</v>
      </c>
      <c r="AK6297" s="5" t="s">
        <v>3620</v>
      </c>
    </row>
    <row r="6298" spans="35:37">
      <c r="AI6298" s="468">
        <v>48670</v>
      </c>
      <c r="AJ6298" s="5" t="s">
        <v>3617</v>
      </c>
      <c r="AK6298" s="5" t="s">
        <v>3622</v>
      </c>
    </row>
    <row r="6299" spans="35:37">
      <c r="AI6299" s="468">
        <v>48671</v>
      </c>
      <c r="AJ6299" s="5" t="s">
        <v>3619</v>
      </c>
      <c r="AK6299" s="5" t="s">
        <v>3623</v>
      </c>
    </row>
    <row r="6300" spans="35:37">
      <c r="AI6300" s="468">
        <v>48672</v>
      </c>
      <c r="AJ6300" s="5" t="s">
        <v>3621</v>
      </c>
      <c r="AK6300" s="5" t="s">
        <v>3625</v>
      </c>
    </row>
    <row r="6301" spans="35:37">
      <c r="AI6301" s="468">
        <v>48673</v>
      </c>
      <c r="AJ6301" s="5" t="s">
        <v>3579</v>
      </c>
      <c r="AK6301" s="5" t="s">
        <v>3627</v>
      </c>
    </row>
    <row r="6302" spans="35:37">
      <c r="AI6302" s="468">
        <v>48674</v>
      </c>
      <c r="AJ6302" s="5" t="s">
        <v>3624</v>
      </c>
      <c r="AK6302" s="5" t="s">
        <v>3618</v>
      </c>
    </row>
    <row r="6303" spans="35:37">
      <c r="AI6303" s="468">
        <v>48675</v>
      </c>
      <c r="AJ6303" s="5" t="s">
        <v>3626</v>
      </c>
      <c r="AK6303" s="5" t="s">
        <v>3620</v>
      </c>
    </row>
    <row r="6304" spans="35:37">
      <c r="AI6304" s="468">
        <v>48676</v>
      </c>
      <c r="AJ6304" s="5" t="s">
        <v>3628</v>
      </c>
      <c r="AK6304" s="5" t="s">
        <v>3622</v>
      </c>
    </row>
    <row r="6305" spans="35:37">
      <c r="AI6305" s="468">
        <v>48677</v>
      </c>
      <c r="AJ6305" s="5" t="s">
        <v>3617</v>
      </c>
      <c r="AK6305" s="5" t="s">
        <v>3623</v>
      </c>
    </row>
    <row r="6306" spans="35:37">
      <c r="AI6306" s="468">
        <v>48678</v>
      </c>
      <c r="AJ6306" s="5" t="s">
        <v>3619</v>
      </c>
      <c r="AK6306" s="5" t="s">
        <v>3625</v>
      </c>
    </row>
    <row r="6307" spans="35:37">
      <c r="AI6307" s="468">
        <v>48679</v>
      </c>
      <c r="AJ6307" s="5" t="s">
        <v>3621</v>
      </c>
      <c r="AK6307" s="5" t="s">
        <v>3627</v>
      </c>
    </row>
    <row r="6308" spans="35:37">
      <c r="AI6308" s="468">
        <v>48680</v>
      </c>
      <c r="AJ6308" s="5" t="s">
        <v>3579</v>
      </c>
      <c r="AK6308" s="5" t="s">
        <v>3618</v>
      </c>
    </row>
    <row r="6309" spans="35:37">
      <c r="AI6309" s="468">
        <v>48681</v>
      </c>
      <c r="AJ6309" s="5" t="s">
        <v>3624</v>
      </c>
      <c r="AK6309" s="5" t="s">
        <v>3620</v>
      </c>
    </row>
    <row r="6310" spans="35:37">
      <c r="AI6310" s="468">
        <v>48682</v>
      </c>
      <c r="AJ6310" s="5" t="s">
        <v>3626</v>
      </c>
      <c r="AK6310" s="5" t="s">
        <v>3622</v>
      </c>
    </row>
    <row r="6311" spans="35:37">
      <c r="AI6311" s="468">
        <v>48683</v>
      </c>
      <c r="AJ6311" s="5" t="s">
        <v>3628</v>
      </c>
      <c r="AK6311" s="5" t="s">
        <v>3623</v>
      </c>
    </row>
    <row r="6312" spans="35:37">
      <c r="AI6312" s="468">
        <v>48684</v>
      </c>
      <c r="AJ6312" s="5" t="s">
        <v>3617</v>
      </c>
      <c r="AK6312" s="5" t="s">
        <v>3625</v>
      </c>
    </row>
    <row r="6313" spans="35:37">
      <c r="AI6313" s="468">
        <v>48685</v>
      </c>
      <c r="AJ6313" s="5" t="s">
        <v>3619</v>
      </c>
      <c r="AK6313" s="5" t="s">
        <v>3627</v>
      </c>
    </row>
    <row r="6314" spans="35:37">
      <c r="AI6314" s="468">
        <v>48686</v>
      </c>
      <c r="AJ6314" s="5" t="s">
        <v>3621</v>
      </c>
      <c r="AK6314" s="5" t="s">
        <v>3618</v>
      </c>
    </row>
    <row r="6315" spans="35:37">
      <c r="AI6315" s="468">
        <v>48687</v>
      </c>
      <c r="AJ6315" s="5" t="s">
        <v>3579</v>
      </c>
      <c r="AK6315" s="5" t="s">
        <v>3620</v>
      </c>
    </row>
    <row r="6316" spans="35:37">
      <c r="AI6316" s="468">
        <v>48688</v>
      </c>
      <c r="AJ6316" s="5" t="s">
        <v>3624</v>
      </c>
      <c r="AK6316" s="5" t="s">
        <v>3622</v>
      </c>
    </row>
    <row r="6317" spans="35:37">
      <c r="AI6317" s="468">
        <v>48689</v>
      </c>
      <c r="AJ6317" s="5" t="s">
        <v>3626</v>
      </c>
      <c r="AK6317" s="5" t="s">
        <v>3623</v>
      </c>
    </row>
    <row r="6318" spans="35:37">
      <c r="AI6318" s="468">
        <v>48690</v>
      </c>
      <c r="AJ6318" s="5" t="s">
        <v>3628</v>
      </c>
      <c r="AK6318" s="5" t="s">
        <v>3625</v>
      </c>
    </row>
    <row r="6319" spans="35:37">
      <c r="AI6319" s="468">
        <v>48691</v>
      </c>
      <c r="AJ6319" s="5" t="s">
        <v>3617</v>
      </c>
      <c r="AK6319" s="5" t="s">
        <v>3627</v>
      </c>
    </row>
    <row r="6320" spans="35:37">
      <c r="AI6320" s="468">
        <v>48692</v>
      </c>
      <c r="AJ6320" s="5" t="s">
        <v>3619</v>
      </c>
      <c r="AK6320" s="5" t="s">
        <v>3618</v>
      </c>
    </row>
    <row r="6321" spans="35:37">
      <c r="AI6321" s="468">
        <v>48693</v>
      </c>
      <c r="AJ6321" s="5" t="s">
        <v>3621</v>
      </c>
      <c r="AK6321" s="5" t="s">
        <v>3620</v>
      </c>
    </row>
    <row r="6322" spans="35:37">
      <c r="AI6322" s="468">
        <v>48694</v>
      </c>
      <c r="AJ6322" s="5" t="s">
        <v>3579</v>
      </c>
      <c r="AK6322" s="5" t="s">
        <v>3622</v>
      </c>
    </row>
    <row r="6323" spans="35:37">
      <c r="AI6323" s="468">
        <v>48695</v>
      </c>
      <c r="AJ6323" s="5" t="s">
        <v>3624</v>
      </c>
      <c r="AK6323" s="5" t="s">
        <v>3623</v>
      </c>
    </row>
    <row r="6324" spans="35:37">
      <c r="AI6324" s="468">
        <v>48696</v>
      </c>
      <c r="AJ6324" s="5" t="s">
        <v>3626</v>
      </c>
      <c r="AK6324" s="5" t="s">
        <v>3625</v>
      </c>
    </row>
    <row r="6325" spans="35:37">
      <c r="AI6325" s="468">
        <v>48697</v>
      </c>
      <c r="AJ6325" s="5" t="s">
        <v>3628</v>
      </c>
      <c r="AK6325" s="5" t="s">
        <v>3627</v>
      </c>
    </row>
    <row r="6326" spans="35:37">
      <c r="AI6326" s="468">
        <v>48698</v>
      </c>
      <c r="AJ6326" s="5" t="s">
        <v>3617</v>
      </c>
      <c r="AK6326" s="5" t="s">
        <v>3622</v>
      </c>
    </row>
    <row r="6327" spans="35:37">
      <c r="AI6327" s="468">
        <v>48699</v>
      </c>
      <c r="AJ6327" s="5" t="s">
        <v>3619</v>
      </c>
      <c r="AK6327" s="5" t="s">
        <v>3623</v>
      </c>
    </row>
    <row r="6328" spans="35:37">
      <c r="AI6328" s="468">
        <v>48700</v>
      </c>
      <c r="AJ6328" s="5" t="s">
        <v>3621</v>
      </c>
      <c r="AK6328" s="5" t="s">
        <v>3625</v>
      </c>
    </row>
    <row r="6329" spans="35:37">
      <c r="AI6329" s="468">
        <v>48701</v>
      </c>
      <c r="AJ6329" s="5" t="s">
        <v>3579</v>
      </c>
      <c r="AK6329" s="5" t="s">
        <v>3627</v>
      </c>
    </row>
    <row r="6330" spans="35:37">
      <c r="AI6330" s="468">
        <v>48702</v>
      </c>
      <c r="AJ6330" s="5" t="s">
        <v>3624</v>
      </c>
      <c r="AK6330" s="5" t="s">
        <v>3618</v>
      </c>
    </row>
    <row r="6331" spans="35:37">
      <c r="AI6331" s="468">
        <v>48703</v>
      </c>
      <c r="AJ6331" s="5" t="s">
        <v>3626</v>
      </c>
      <c r="AK6331" s="5" t="s">
        <v>3620</v>
      </c>
    </row>
    <row r="6332" spans="35:37">
      <c r="AI6332" s="468">
        <v>48704</v>
      </c>
      <c r="AJ6332" s="5" t="s">
        <v>3628</v>
      </c>
      <c r="AK6332" s="5" t="s">
        <v>3622</v>
      </c>
    </row>
    <row r="6333" spans="35:37">
      <c r="AI6333" s="468">
        <v>48705</v>
      </c>
      <c r="AJ6333" s="5" t="s">
        <v>3617</v>
      </c>
      <c r="AK6333" s="5" t="s">
        <v>3623</v>
      </c>
    </row>
    <row r="6334" spans="35:37">
      <c r="AI6334" s="468">
        <v>48706</v>
      </c>
      <c r="AJ6334" s="5" t="s">
        <v>3619</v>
      </c>
      <c r="AK6334" s="5" t="s">
        <v>3625</v>
      </c>
    </row>
    <row r="6335" spans="35:37">
      <c r="AI6335" s="468">
        <v>48707</v>
      </c>
      <c r="AJ6335" s="5" t="s">
        <v>3621</v>
      </c>
      <c r="AK6335" s="5" t="s">
        <v>3627</v>
      </c>
    </row>
    <row r="6336" spans="35:37">
      <c r="AI6336" s="468">
        <v>48708</v>
      </c>
      <c r="AJ6336" s="5" t="s">
        <v>3579</v>
      </c>
      <c r="AK6336" s="5" t="s">
        <v>3618</v>
      </c>
    </row>
    <row r="6337" spans="35:37">
      <c r="AI6337" s="468">
        <v>48709</v>
      </c>
      <c r="AJ6337" s="5" t="s">
        <v>3624</v>
      </c>
      <c r="AK6337" s="5" t="s">
        <v>3620</v>
      </c>
    </row>
    <row r="6338" spans="35:37">
      <c r="AI6338" s="468">
        <v>48710</v>
      </c>
      <c r="AJ6338" s="5" t="s">
        <v>3626</v>
      </c>
      <c r="AK6338" s="5" t="s">
        <v>3622</v>
      </c>
    </row>
    <row r="6339" spans="35:37">
      <c r="AI6339" s="468">
        <v>48711</v>
      </c>
      <c r="AJ6339" s="5" t="s">
        <v>3628</v>
      </c>
      <c r="AK6339" s="5" t="s">
        <v>3623</v>
      </c>
    </row>
    <row r="6340" spans="35:37">
      <c r="AI6340" s="468">
        <v>48712</v>
      </c>
      <c r="AJ6340" s="5" t="s">
        <v>3617</v>
      </c>
      <c r="AK6340" s="5" t="s">
        <v>3625</v>
      </c>
    </row>
    <row r="6341" spans="35:37">
      <c r="AI6341" s="468">
        <v>48713</v>
      </c>
      <c r="AJ6341" s="5" t="s">
        <v>3619</v>
      </c>
      <c r="AK6341" s="5" t="s">
        <v>3627</v>
      </c>
    </row>
    <row r="6342" spans="35:37">
      <c r="AI6342" s="468">
        <v>48714</v>
      </c>
      <c r="AJ6342" s="5" t="s">
        <v>3621</v>
      </c>
      <c r="AK6342" s="5" t="s">
        <v>3618</v>
      </c>
    </row>
    <row r="6343" spans="35:37">
      <c r="AI6343" s="468">
        <v>48715</v>
      </c>
      <c r="AJ6343" s="5" t="s">
        <v>3579</v>
      </c>
      <c r="AK6343" s="5" t="s">
        <v>3620</v>
      </c>
    </row>
    <row r="6344" spans="35:37">
      <c r="AI6344" s="468">
        <v>48716</v>
      </c>
      <c r="AJ6344" s="5" t="s">
        <v>3624</v>
      </c>
      <c r="AK6344" s="5" t="s">
        <v>3622</v>
      </c>
    </row>
    <row r="6345" spans="35:37">
      <c r="AI6345" s="468">
        <v>48717</v>
      </c>
      <c r="AJ6345" s="5" t="s">
        <v>3626</v>
      </c>
      <c r="AK6345" s="5" t="s">
        <v>3623</v>
      </c>
    </row>
    <row r="6346" spans="35:37">
      <c r="AI6346" s="468">
        <v>48718</v>
      </c>
      <c r="AJ6346" s="5" t="s">
        <v>3628</v>
      </c>
      <c r="AK6346" s="5" t="s">
        <v>3625</v>
      </c>
    </row>
    <row r="6347" spans="35:37">
      <c r="AI6347" s="468">
        <v>48719</v>
      </c>
      <c r="AJ6347" s="5" t="s">
        <v>3617</v>
      </c>
      <c r="AK6347" s="5" t="s">
        <v>3627</v>
      </c>
    </row>
    <row r="6348" spans="35:37">
      <c r="AI6348" s="468">
        <v>48720</v>
      </c>
      <c r="AJ6348" s="5" t="s">
        <v>3619</v>
      </c>
      <c r="AK6348" s="5" t="s">
        <v>3618</v>
      </c>
    </row>
    <row r="6349" spans="35:37">
      <c r="AI6349" s="468">
        <v>48721</v>
      </c>
      <c r="AJ6349" s="5" t="s">
        <v>3621</v>
      </c>
      <c r="AK6349" s="5" t="s">
        <v>3620</v>
      </c>
    </row>
    <row r="6350" spans="35:37">
      <c r="AI6350" s="468">
        <v>48722</v>
      </c>
      <c r="AJ6350" s="5" t="s">
        <v>3579</v>
      </c>
      <c r="AK6350" s="5" t="s">
        <v>3622</v>
      </c>
    </row>
    <row r="6351" spans="35:37">
      <c r="AI6351" s="468">
        <v>48723</v>
      </c>
      <c r="AJ6351" s="5" t="s">
        <v>3624</v>
      </c>
      <c r="AK6351" s="5" t="s">
        <v>3623</v>
      </c>
    </row>
    <row r="6352" spans="35:37">
      <c r="AI6352" s="468">
        <v>48724</v>
      </c>
      <c r="AJ6352" s="5" t="s">
        <v>3626</v>
      </c>
      <c r="AK6352" s="5" t="s">
        <v>3625</v>
      </c>
    </row>
    <row r="6353" spans="35:37">
      <c r="AI6353" s="468">
        <v>48725</v>
      </c>
      <c r="AJ6353" s="5" t="s">
        <v>3628</v>
      </c>
      <c r="AK6353" s="5" t="s">
        <v>3627</v>
      </c>
    </row>
    <row r="6354" spans="35:37">
      <c r="AI6354" s="468">
        <v>48726</v>
      </c>
      <c r="AJ6354" s="5" t="s">
        <v>3617</v>
      </c>
      <c r="AK6354" s="5" t="s">
        <v>3618</v>
      </c>
    </row>
    <row r="6355" spans="35:37">
      <c r="AI6355" s="468">
        <v>48727</v>
      </c>
      <c r="AJ6355" s="5" t="s">
        <v>3619</v>
      </c>
      <c r="AK6355" s="5" t="s">
        <v>3623</v>
      </c>
    </row>
    <row r="6356" spans="35:37">
      <c r="AI6356" s="468">
        <v>48728</v>
      </c>
      <c r="AJ6356" s="5" t="s">
        <v>3621</v>
      </c>
      <c r="AK6356" s="5" t="s">
        <v>3625</v>
      </c>
    </row>
    <row r="6357" spans="35:37">
      <c r="AI6357" s="468">
        <v>48729</v>
      </c>
      <c r="AJ6357" s="5" t="s">
        <v>3579</v>
      </c>
      <c r="AK6357" s="5" t="s">
        <v>3627</v>
      </c>
    </row>
    <row r="6358" spans="35:37">
      <c r="AI6358" s="468">
        <v>48730</v>
      </c>
      <c r="AJ6358" s="5" t="s">
        <v>3624</v>
      </c>
      <c r="AK6358" s="5" t="s">
        <v>3618</v>
      </c>
    </row>
    <row r="6359" spans="35:37">
      <c r="AI6359" s="468">
        <v>48731</v>
      </c>
      <c r="AJ6359" s="5" t="s">
        <v>3626</v>
      </c>
      <c r="AK6359" s="5" t="s">
        <v>3620</v>
      </c>
    </row>
    <row r="6360" spans="35:37">
      <c r="AI6360" s="468">
        <v>48732</v>
      </c>
      <c r="AJ6360" s="5" t="s">
        <v>3628</v>
      </c>
      <c r="AK6360" s="5" t="s">
        <v>3622</v>
      </c>
    </row>
    <row r="6361" spans="35:37">
      <c r="AI6361" s="468">
        <v>48733</v>
      </c>
      <c r="AJ6361" s="5" t="s">
        <v>3617</v>
      </c>
      <c r="AK6361" s="5" t="s">
        <v>3623</v>
      </c>
    </row>
    <row r="6362" spans="35:37">
      <c r="AI6362" s="468">
        <v>48734</v>
      </c>
      <c r="AJ6362" s="5" t="s">
        <v>3619</v>
      </c>
      <c r="AK6362" s="5" t="s">
        <v>3625</v>
      </c>
    </row>
    <row r="6363" spans="35:37">
      <c r="AI6363" s="468">
        <v>48735</v>
      </c>
      <c r="AJ6363" s="5" t="s">
        <v>3621</v>
      </c>
      <c r="AK6363" s="5" t="s">
        <v>3627</v>
      </c>
    </row>
    <row r="6364" spans="35:37">
      <c r="AI6364" s="468">
        <v>48736</v>
      </c>
      <c r="AJ6364" s="5" t="s">
        <v>3579</v>
      </c>
      <c r="AK6364" s="5" t="s">
        <v>3618</v>
      </c>
    </row>
    <row r="6365" spans="35:37">
      <c r="AI6365" s="468">
        <v>48737</v>
      </c>
      <c r="AJ6365" s="5" t="s">
        <v>3624</v>
      </c>
      <c r="AK6365" s="5" t="s">
        <v>3620</v>
      </c>
    </row>
    <row r="6366" spans="35:37">
      <c r="AI6366" s="468">
        <v>48738</v>
      </c>
      <c r="AJ6366" s="5" t="s">
        <v>3626</v>
      </c>
      <c r="AK6366" s="5" t="s">
        <v>3622</v>
      </c>
    </row>
    <row r="6367" spans="35:37">
      <c r="AI6367" s="468">
        <v>48739</v>
      </c>
      <c r="AJ6367" s="5" t="s">
        <v>3628</v>
      </c>
      <c r="AK6367" s="5" t="s">
        <v>3623</v>
      </c>
    </row>
    <row r="6368" spans="35:37">
      <c r="AI6368" s="468">
        <v>48740</v>
      </c>
      <c r="AJ6368" s="5" t="s">
        <v>3617</v>
      </c>
      <c r="AK6368" s="5" t="s">
        <v>3625</v>
      </c>
    </row>
    <row r="6369" spans="35:37">
      <c r="AI6369" s="468">
        <v>48741</v>
      </c>
      <c r="AJ6369" s="5" t="s">
        <v>3619</v>
      </c>
      <c r="AK6369" s="5" t="s">
        <v>3627</v>
      </c>
    </row>
    <row r="6370" spans="35:37">
      <c r="AI6370" s="468">
        <v>48742</v>
      </c>
      <c r="AJ6370" s="5" t="s">
        <v>3621</v>
      </c>
      <c r="AK6370" s="5" t="s">
        <v>3618</v>
      </c>
    </row>
    <row r="6371" spans="35:37">
      <c r="AI6371" s="468">
        <v>48743</v>
      </c>
      <c r="AJ6371" s="5" t="s">
        <v>3579</v>
      </c>
      <c r="AK6371" s="5" t="s">
        <v>3620</v>
      </c>
    </row>
    <row r="6372" spans="35:37">
      <c r="AI6372" s="468">
        <v>48744</v>
      </c>
      <c r="AJ6372" s="5" t="s">
        <v>3624</v>
      </c>
      <c r="AK6372" s="5" t="s">
        <v>3622</v>
      </c>
    </row>
    <row r="6373" spans="35:37">
      <c r="AI6373" s="468">
        <v>48745</v>
      </c>
      <c r="AJ6373" s="5" t="s">
        <v>3626</v>
      </c>
      <c r="AK6373" s="5" t="s">
        <v>3623</v>
      </c>
    </row>
    <row r="6374" spans="35:37">
      <c r="AI6374" s="468">
        <v>48746</v>
      </c>
      <c r="AJ6374" s="5" t="s">
        <v>3628</v>
      </c>
      <c r="AK6374" s="5" t="s">
        <v>3625</v>
      </c>
    </row>
    <row r="6375" spans="35:37">
      <c r="AI6375" s="468">
        <v>48747</v>
      </c>
      <c r="AJ6375" s="5" t="s">
        <v>3617</v>
      </c>
      <c r="AK6375" s="5" t="s">
        <v>3627</v>
      </c>
    </row>
    <row r="6376" spans="35:37">
      <c r="AI6376" s="468">
        <v>48748</v>
      </c>
      <c r="AJ6376" s="5" t="s">
        <v>3619</v>
      </c>
      <c r="AK6376" s="5" t="s">
        <v>3618</v>
      </c>
    </row>
    <row r="6377" spans="35:37">
      <c r="AI6377" s="468">
        <v>48749</v>
      </c>
      <c r="AJ6377" s="5" t="s">
        <v>3621</v>
      </c>
      <c r="AK6377" s="5" t="s">
        <v>3620</v>
      </c>
    </row>
    <row r="6378" spans="35:37">
      <c r="AI6378" s="468">
        <v>48750</v>
      </c>
      <c r="AJ6378" s="5" t="s">
        <v>3579</v>
      </c>
      <c r="AK6378" s="5" t="s">
        <v>3622</v>
      </c>
    </row>
    <row r="6379" spans="35:37">
      <c r="AI6379" s="468">
        <v>48751</v>
      </c>
      <c r="AJ6379" s="5" t="s">
        <v>3624</v>
      </c>
      <c r="AK6379" s="5" t="s">
        <v>3623</v>
      </c>
    </row>
    <row r="6380" spans="35:37">
      <c r="AI6380" s="468">
        <v>48752</v>
      </c>
      <c r="AJ6380" s="5" t="s">
        <v>3626</v>
      </c>
      <c r="AK6380" s="5" t="s">
        <v>3625</v>
      </c>
    </row>
    <row r="6381" spans="35:37">
      <c r="AI6381" s="468">
        <v>48753</v>
      </c>
      <c r="AJ6381" s="5" t="s">
        <v>3628</v>
      </c>
      <c r="AK6381" s="5" t="s">
        <v>3627</v>
      </c>
    </row>
    <row r="6382" spans="35:37">
      <c r="AI6382" s="468">
        <v>48754</v>
      </c>
      <c r="AJ6382" s="5" t="s">
        <v>3617</v>
      </c>
      <c r="AK6382" s="5" t="s">
        <v>3618</v>
      </c>
    </row>
    <row r="6383" spans="35:37">
      <c r="AI6383" s="468">
        <v>48755</v>
      </c>
      <c r="AJ6383" s="5" t="s">
        <v>3619</v>
      </c>
      <c r="AK6383" s="5" t="s">
        <v>3620</v>
      </c>
    </row>
    <row r="6384" spans="35:37">
      <c r="AI6384" s="468">
        <v>48756</v>
      </c>
      <c r="AJ6384" s="5" t="s">
        <v>3621</v>
      </c>
      <c r="AK6384" s="5" t="s">
        <v>3622</v>
      </c>
    </row>
    <row r="6385" spans="35:37">
      <c r="AI6385" s="468">
        <v>48757</v>
      </c>
      <c r="AJ6385" s="5" t="s">
        <v>3579</v>
      </c>
      <c r="AK6385" s="5" t="s">
        <v>3625</v>
      </c>
    </row>
    <row r="6386" spans="35:37">
      <c r="AI6386" s="468">
        <v>48758</v>
      </c>
      <c r="AJ6386" s="5" t="s">
        <v>3624</v>
      </c>
      <c r="AK6386" s="5" t="s">
        <v>3627</v>
      </c>
    </row>
    <row r="6387" spans="35:37">
      <c r="AI6387" s="468">
        <v>48759</v>
      </c>
      <c r="AJ6387" s="5" t="s">
        <v>3626</v>
      </c>
      <c r="AK6387" s="5" t="s">
        <v>3618</v>
      </c>
    </row>
    <row r="6388" spans="35:37">
      <c r="AI6388" s="468">
        <v>48760</v>
      </c>
      <c r="AJ6388" s="5" t="s">
        <v>3628</v>
      </c>
      <c r="AK6388" s="5" t="s">
        <v>3620</v>
      </c>
    </row>
    <row r="6389" spans="35:37">
      <c r="AI6389" s="468">
        <v>48761</v>
      </c>
      <c r="AJ6389" s="5" t="s">
        <v>3617</v>
      </c>
      <c r="AK6389" s="5" t="s">
        <v>3622</v>
      </c>
    </row>
    <row r="6390" spans="35:37">
      <c r="AI6390" s="468">
        <v>48762</v>
      </c>
      <c r="AJ6390" s="5" t="s">
        <v>3619</v>
      </c>
      <c r="AK6390" s="5" t="s">
        <v>3623</v>
      </c>
    </row>
    <row r="6391" spans="35:37">
      <c r="AI6391" s="468">
        <v>48763</v>
      </c>
      <c r="AJ6391" s="5" t="s">
        <v>3621</v>
      </c>
      <c r="AK6391" s="5" t="s">
        <v>3625</v>
      </c>
    </row>
    <row r="6392" spans="35:37">
      <c r="AI6392" s="468">
        <v>48764</v>
      </c>
      <c r="AJ6392" s="5" t="s">
        <v>3579</v>
      </c>
      <c r="AK6392" s="5" t="s">
        <v>3627</v>
      </c>
    </row>
    <row r="6393" spans="35:37">
      <c r="AI6393" s="468">
        <v>48765</v>
      </c>
      <c r="AJ6393" s="5" t="s">
        <v>3624</v>
      </c>
      <c r="AK6393" s="5" t="s">
        <v>3618</v>
      </c>
    </row>
    <row r="6394" spans="35:37">
      <c r="AI6394" s="468">
        <v>48766</v>
      </c>
      <c r="AJ6394" s="5" t="s">
        <v>3626</v>
      </c>
      <c r="AK6394" s="5" t="s">
        <v>3620</v>
      </c>
    </row>
    <row r="6395" spans="35:37">
      <c r="AI6395" s="468">
        <v>48767</v>
      </c>
      <c r="AJ6395" s="5" t="s">
        <v>3628</v>
      </c>
      <c r="AK6395" s="5" t="s">
        <v>3622</v>
      </c>
    </row>
    <row r="6396" spans="35:37">
      <c r="AI6396" s="468">
        <v>48768</v>
      </c>
      <c r="AJ6396" s="5" t="s">
        <v>3617</v>
      </c>
      <c r="AK6396" s="5" t="s">
        <v>3623</v>
      </c>
    </row>
    <row r="6397" spans="35:37">
      <c r="AI6397" s="468">
        <v>48769</v>
      </c>
      <c r="AJ6397" s="5" t="s">
        <v>3619</v>
      </c>
      <c r="AK6397" s="5" t="s">
        <v>3625</v>
      </c>
    </row>
    <row r="6398" spans="35:37">
      <c r="AI6398" s="468">
        <v>48770</v>
      </c>
      <c r="AJ6398" s="5" t="s">
        <v>3621</v>
      </c>
      <c r="AK6398" s="5" t="s">
        <v>3627</v>
      </c>
    </row>
    <row r="6399" spans="35:37">
      <c r="AI6399" s="468">
        <v>48771</v>
      </c>
      <c r="AJ6399" s="5" t="s">
        <v>3579</v>
      </c>
      <c r="AK6399" s="5" t="s">
        <v>3618</v>
      </c>
    </row>
    <row r="6400" spans="35:37">
      <c r="AI6400" s="468">
        <v>48772</v>
      </c>
      <c r="AJ6400" s="5" t="s">
        <v>3624</v>
      </c>
      <c r="AK6400" s="5" t="s">
        <v>3620</v>
      </c>
    </row>
    <row r="6401" spans="35:37">
      <c r="AI6401" s="468">
        <v>48773</v>
      </c>
      <c r="AJ6401" s="5" t="s">
        <v>3626</v>
      </c>
      <c r="AK6401" s="5" t="s">
        <v>3622</v>
      </c>
    </row>
    <row r="6402" spans="35:37">
      <c r="AI6402" s="468">
        <v>48774</v>
      </c>
      <c r="AJ6402" s="5" t="s">
        <v>3628</v>
      </c>
      <c r="AK6402" s="5" t="s">
        <v>3623</v>
      </c>
    </row>
    <row r="6403" spans="35:37">
      <c r="AI6403" s="468">
        <v>48775</v>
      </c>
      <c r="AJ6403" s="5" t="s">
        <v>3617</v>
      </c>
      <c r="AK6403" s="5" t="s">
        <v>3625</v>
      </c>
    </row>
    <row r="6404" spans="35:37">
      <c r="AI6404" s="468">
        <v>48776</v>
      </c>
      <c r="AJ6404" s="5" t="s">
        <v>3619</v>
      </c>
      <c r="AK6404" s="5" t="s">
        <v>3627</v>
      </c>
    </row>
    <row r="6405" spans="35:37">
      <c r="AI6405" s="468">
        <v>48777</v>
      </c>
      <c r="AJ6405" s="5" t="s">
        <v>3621</v>
      </c>
      <c r="AK6405" s="5" t="s">
        <v>3618</v>
      </c>
    </row>
    <row r="6406" spans="35:37">
      <c r="AI6406" s="468">
        <v>48778</v>
      </c>
      <c r="AJ6406" s="5" t="s">
        <v>3579</v>
      </c>
      <c r="AK6406" s="5" t="s">
        <v>3620</v>
      </c>
    </row>
    <row r="6407" spans="35:37">
      <c r="AI6407" s="468">
        <v>48779</v>
      </c>
      <c r="AJ6407" s="5" t="s">
        <v>3624</v>
      </c>
      <c r="AK6407" s="5" t="s">
        <v>3622</v>
      </c>
    </row>
    <row r="6408" spans="35:37">
      <c r="AI6408" s="468">
        <v>48780</v>
      </c>
      <c r="AJ6408" s="5" t="s">
        <v>3626</v>
      </c>
      <c r="AK6408" s="5" t="s">
        <v>3623</v>
      </c>
    </row>
    <row r="6409" spans="35:37">
      <c r="AI6409" s="468">
        <v>48781</v>
      </c>
      <c r="AJ6409" s="5" t="s">
        <v>3628</v>
      </c>
      <c r="AK6409" s="5" t="s">
        <v>3625</v>
      </c>
    </row>
    <row r="6410" spans="35:37">
      <c r="AI6410" s="468">
        <v>48782</v>
      </c>
      <c r="AJ6410" s="5" t="s">
        <v>3617</v>
      </c>
      <c r="AK6410" s="5" t="s">
        <v>3627</v>
      </c>
    </row>
    <row r="6411" spans="35:37">
      <c r="AI6411" s="468">
        <v>48783</v>
      </c>
      <c r="AJ6411" s="5" t="s">
        <v>3619</v>
      </c>
      <c r="AK6411" s="5" t="s">
        <v>3618</v>
      </c>
    </row>
    <row r="6412" spans="35:37">
      <c r="AI6412" s="468">
        <v>48784</v>
      </c>
      <c r="AJ6412" s="5" t="s">
        <v>3621</v>
      </c>
      <c r="AK6412" s="5" t="s">
        <v>3620</v>
      </c>
    </row>
    <row r="6413" spans="35:37">
      <c r="AI6413" s="468">
        <v>48785</v>
      </c>
      <c r="AJ6413" s="5" t="s">
        <v>3579</v>
      </c>
      <c r="AK6413" s="5" t="s">
        <v>3622</v>
      </c>
    </row>
    <row r="6414" spans="35:37">
      <c r="AI6414" s="468">
        <v>48786</v>
      </c>
      <c r="AJ6414" s="5" t="s">
        <v>3624</v>
      </c>
      <c r="AK6414" s="5" t="s">
        <v>3627</v>
      </c>
    </row>
    <row r="6415" spans="35:37">
      <c r="AI6415" s="468">
        <v>48787</v>
      </c>
      <c r="AJ6415" s="5" t="s">
        <v>3626</v>
      </c>
      <c r="AK6415" s="5" t="s">
        <v>3618</v>
      </c>
    </row>
    <row r="6416" spans="35:37">
      <c r="AI6416" s="468">
        <v>48788</v>
      </c>
      <c r="AJ6416" s="5" t="s">
        <v>3628</v>
      </c>
      <c r="AK6416" s="5" t="s">
        <v>3620</v>
      </c>
    </row>
    <row r="6417" spans="35:37">
      <c r="AI6417" s="468">
        <v>48789</v>
      </c>
      <c r="AJ6417" s="5" t="s">
        <v>3617</v>
      </c>
      <c r="AK6417" s="5" t="s">
        <v>3622</v>
      </c>
    </row>
    <row r="6418" spans="35:37">
      <c r="AI6418" s="468">
        <v>48790</v>
      </c>
      <c r="AJ6418" s="5" t="s">
        <v>3619</v>
      </c>
      <c r="AK6418" s="5" t="s">
        <v>3623</v>
      </c>
    </row>
    <row r="6419" spans="35:37">
      <c r="AI6419" s="468">
        <v>48791</v>
      </c>
      <c r="AJ6419" s="5" t="s">
        <v>3621</v>
      </c>
      <c r="AK6419" s="5" t="s">
        <v>3625</v>
      </c>
    </row>
    <row r="6420" spans="35:37">
      <c r="AI6420" s="468">
        <v>48792</v>
      </c>
      <c r="AJ6420" s="5" t="s">
        <v>3579</v>
      </c>
      <c r="AK6420" s="5" t="s">
        <v>3627</v>
      </c>
    </row>
    <row r="6421" spans="35:37">
      <c r="AI6421" s="468">
        <v>48793</v>
      </c>
      <c r="AJ6421" s="5" t="s">
        <v>3624</v>
      </c>
      <c r="AK6421" s="5" t="s">
        <v>3618</v>
      </c>
    </row>
    <row r="6422" spans="35:37">
      <c r="AI6422" s="468">
        <v>48794</v>
      </c>
      <c r="AJ6422" s="5" t="s">
        <v>3626</v>
      </c>
      <c r="AK6422" s="5" t="s">
        <v>3620</v>
      </c>
    </row>
    <row r="6423" spans="35:37">
      <c r="AI6423" s="468">
        <v>48795</v>
      </c>
      <c r="AJ6423" s="5" t="s">
        <v>3628</v>
      </c>
      <c r="AK6423" s="5" t="s">
        <v>3622</v>
      </c>
    </row>
    <row r="6424" spans="35:37">
      <c r="AI6424" s="468">
        <v>48796</v>
      </c>
      <c r="AJ6424" s="5" t="s">
        <v>3617</v>
      </c>
      <c r="AK6424" s="5" t="s">
        <v>3623</v>
      </c>
    </row>
    <row r="6425" spans="35:37">
      <c r="AI6425" s="468">
        <v>48797</v>
      </c>
      <c r="AJ6425" s="5" t="s">
        <v>3619</v>
      </c>
      <c r="AK6425" s="5" t="s">
        <v>3625</v>
      </c>
    </row>
    <row r="6426" spans="35:37">
      <c r="AI6426" s="468">
        <v>48798</v>
      </c>
      <c r="AJ6426" s="5" t="s">
        <v>3621</v>
      </c>
      <c r="AK6426" s="5" t="s">
        <v>3627</v>
      </c>
    </row>
    <row r="6427" spans="35:37">
      <c r="AI6427" s="468">
        <v>48799</v>
      </c>
      <c r="AJ6427" s="5" t="s">
        <v>3579</v>
      </c>
      <c r="AK6427" s="5" t="s">
        <v>3618</v>
      </c>
    </row>
    <row r="6428" spans="35:37">
      <c r="AI6428" s="468">
        <v>48800</v>
      </c>
      <c r="AJ6428" s="5" t="s">
        <v>3624</v>
      </c>
      <c r="AK6428" s="5" t="s">
        <v>3620</v>
      </c>
    </row>
    <row r="6429" spans="35:37">
      <c r="AI6429" s="468">
        <v>48801</v>
      </c>
      <c r="AJ6429" s="5" t="s">
        <v>3626</v>
      </c>
      <c r="AK6429" s="5" t="s">
        <v>3622</v>
      </c>
    </row>
    <row r="6430" spans="35:37">
      <c r="AI6430" s="468">
        <v>48802</v>
      </c>
      <c r="AJ6430" s="5" t="s">
        <v>3628</v>
      </c>
      <c r="AK6430" s="5" t="s">
        <v>3623</v>
      </c>
    </row>
    <row r="6431" spans="35:37">
      <c r="AI6431" s="468">
        <v>48803</v>
      </c>
      <c r="AJ6431" s="5" t="s">
        <v>3617</v>
      </c>
      <c r="AK6431" s="5" t="s">
        <v>3625</v>
      </c>
    </row>
    <row r="6432" spans="35:37">
      <c r="AI6432" s="468">
        <v>48804</v>
      </c>
      <c r="AJ6432" s="5" t="s">
        <v>3619</v>
      </c>
      <c r="AK6432" s="5" t="s">
        <v>3627</v>
      </c>
    </row>
    <row r="6433" spans="35:37">
      <c r="AI6433" s="468">
        <v>48805</v>
      </c>
      <c r="AJ6433" s="5" t="s">
        <v>3621</v>
      </c>
      <c r="AK6433" s="5" t="s">
        <v>3618</v>
      </c>
    </row>
    <row r="6434" spans="35:37">
      <c r="AI6434" s="468">
        <v>48806</v>
      </c>
      <c r="AJ6434" s="5" t="s">
        <v>3579</v>
      </c>
      <c r="AK6434" s="5" t="s">
        <v>3620</v>
      </c>
    </row>
    <row r="6435" spans="35:37">
      <c r="AI6435" s="468">
        <v>48807</v>
      </c>
      <c r="AJ6435" s="5" t="s">
        <v>3624</v>
      </c>
      <c r="AK6435" s="5" t="s">
        <v>3622</v>
      </c>
    </row>
    <row r="6436" spans="35:37">
      <c r="AI6436" s="468">
        <v>48808</v>
      </c>
      <c r="AJ6436" s="5" t="s">
        <v>3626</v>
      </c>
      <c r="AK6436" s="5" t="s">
        <v>3623</v>
      </c>
    </row>
    <row r="6437" spans="35:37">
      <c r="AI6437" s="468">
        <v>48809</v>
      </c>
      <c r="AJ6437" s="5" t="s">
        <v>3628</v>
      </c>
      <c r="AK6437" s="5" t="s">
        <v>3625</v>
      </c>
    </row>
    <row r="6438" spans="35:37">
      <c r="AI6438" s="468">
        <v>48810</v>
      </c>
      <c r="AJ6438" s="5" t="s">
        <v>3617</v>
      </c>
      <c r="AK6438" s="5" t="s">
        <v>3627</v>
      </c>
    </row>
    <row r="6439" spans="35:37">
      <c r="AI6439" s="468">
        <v>48811</v>
      </c>
      <c r="AJ6439" s="5" t="s">
        <v>3619</v>
      </c>
      <c r="AK6439" s="5" t="s">
        <v>3618</v>
      </c>
    </row>
    <row r="6440" spans="35:37">
      <c r="AI6440" s="468">
        <v>48812</v>
      </c>
      <c r="AJ6440" s="5" t="s">
        <v>3621</v>
      </c>
      <c r="AK6440" s="5" t="s">
        <v>3620</v>
      </c>
    </row>
    <row r="6441" spans="35:37">
      <c r="AI6441" s="468">
        <v>48813</v>
      </c>
      <c r="AJ6441" s="5" t="s">
        <v>3579</v>
      </c>
      <c r="AK6441" s="5" t="s">
        <v>3622</v>
      </c>
    </row>
    <row r="6442" spans="35:37">
      <c r="AI6442" s="468">
        <v>48814</v>
      </c>
      <c r="AJ6442" s="5" t="s">
        <v>3624</v>
      </c>
      <c r="AK6442" s="5" t="s">
        <v>3623</v>
      </c>
    </row>
    <row r="6443" spans="35:37">
      <c r="AI6443" s="468">
        <v>48815</v>
      </c>
      <c r="AJ6443" s="5" t="s">
        <v>3626</v>
      </c>
      <c r="AK6443" s="5" t="s">
        <v>3625</v>
      </c>
    </row>
    <row r="6444" spans="35:37">
      <c r="AI6444" s="468">
        <v>48816</v>
      </c>
      <c r="AJ6444" s="5" t="s">
        <v>3628</v>
      </c>
      <c r="AK6444" s="5" t="s">
        <v>3618</v>
      </c>
    </row>
    <row r="6445" spans="35:37">
      <c r="AI6445" s="468">
        <v>48817</v>
      </c>
      <c r="AJ6445" s="5" t="s">
        <v>3617</v>
      </c>
      <c r="AK6445" s="5" t="s">
        <v>3620</v>
      </c>
    </row>
    <row r="6446" spans="35:37">
      <c r="AI6446" s="468">
        <v>48818</v>
      </c>
      <c r="AJ6446" s="5" t="s">
        <v>3619</v>
      </c>
      <c r="AK6446" s="5" t="s">
        <v>3622</v>
      </c>
    </row>
    <row r="6447" spans="35:37">
      <c r="AI6447" s="468">
        <v>48819</v>
      </c>
      <c r="AJ6447" s="5" t="s">
        <v>3621</v>
      </c>
      <c r="AK6447" s="5" t="s">
        <v>3623</v>
      </c>
    </row>
    <row r="6448" spans="35:37">
      <c r="AI6448" s="468">
        <v>48820</v>
      </c>
      <c r="AJ6448" s="5" t="s">
        <v>3579</v>
      </c>
      <c r="AK6448" s="5" t="s">
        <v>3625</v>
      </c>
    </row>
    <row r="6449" spans="35:37">
      <c r="AI6449" s="468">
        <v>48821</v>
      </c>
      <c r="AJ6449" s="5" t="s">
        <v>3624</v>
      </c>
      <c r="AK6449" s="5" t="s">
        <v>3627</v>
      </c>
    </row>
    <row r="6450" spans="35:37">
      <c r="AI6450" s="468">
        <v>48822</v>
      </c>
      <c r="AJ6450" s="5" t="s">
        <v>3626</v>
      </c>
      <c r="AK6450" s="5" t="s">
        <v>3618</v>
      </c>
    </row>
    <row r="6451" spans="35:37">
      <c r="AI6451" s="468">
        <v>48823</v>
      </c>
      <c r="AJ6451" s="5" t="s">
        <v>3628</v>
      </c>
      <c r="AK6451" s="5" t="s">
        <v>3620</v>
      </c>
    </row>
    <row r="6452" spans="35:37">
      <c r="AI6452" s="468">
        <v>48824</v>
      </c>
      <c r="AJ6452" s="5" t="s">
        <v>3617</v>
      </c>
      <c r="AK6452" s="5" t="s">
        <v>3622</v>
      </c>
    </row>
    <row r="6453" spans="35:37">
      <c r="AI6453" s="468">
        <v>48825</v>
      </c>
      <c r="AJ6453" s="5" t="s">
        <v>3619</v>
      </c>
      <c r="AK6453" s="5" t="s">
        <v>3623</v>
      </c>
    </row>
    <row r="6454" spans="35:37">
      <c r="AI6454" s="468">
        <v>48826</v>
      </c>
      <c r="AJ6454" s="5" t="s">
        <v>3621</v>
      </c>
      <c r="AK6454" s="5" t="s">
        <v>3625</v>
      </c>
    </row>
    <row r="6455" spans="35:37">
      <c r="AI6455" s="468">
        <v>48827</v>
      </c>
      <c r="AJ6455" s="5" t="s">
        <v>3579</v>
      </c>
      <c r="AK6455" s="5" t="s">
        <v>3627</v>
      </c>
    </row>
    <row r="6456" spans="35:37">
      <c r="AI6456" s="468">
        <v>48828</v>
      </c>
      <c r="AJ6456" s="5" t="s">
        <v>3624</v>
      </c>
      <c r="AK6456" s="5" t="s">
        <v>3618</v>
      </c>
    </row>
    <row r="6457" spans="35:37">
      <c r="AI6457" s="468">
        <v>48829</v>
      </c>
      <c r="AJ6457" s="5" t="s">
        <v>3626</v>
      </c>
      <c r="AK6457" s="5" t="s">
        <v>3620</v>
      </c>
    </row>
    <row r="6458" spans="35:37">
      <c r="AI6458" s="468">
        <v>48830</v>
      </c>
      <c r="AJ6458" s="5" t="s">
        <v>3628</v>
      </c>
      <c r="AK6458" s="5" t="s">
        <v>3622</v>
      </c>
    </row>
    <row r="6459" spans="35:37">
      <c r="AI6459" s="468">
        <v>48831</v>
      </c>
      <c r="AJ6459" s="5" t="s">
        <v>3617</v>
      </c>
      <c r="AK6459" s="5" t="s">
        <v>3623</v>
      </c>
    </row>
    <row r="6460" spans="35:37">
      <c r="AI6460" s="468">
        <v>48832</v>
      </c>
      <c r="AJ6460" s="5" t="s">
        <v>3619</v>
      </c>
      <c r="AK6460" s="5" t="s">
        <v>3625</v>
      </c>
    </row>
    <row r="6461" spans="35:37">
      <c r="AI6461" s="468">
        <v>48833</v>
      </c>
      <c r="AJ6461" s="5" t="s">
        <v>3621</v>
      </c>
      <c r="AK6461" s="5" t="s">
        <v>3627</v>
      </c>
    </row>
    <row r="6462" spans="35:37">
      <c r="AI6462" s="468">
        <v>48834</v>
      </c>
      <c r="AJ6462" s="5" t="s">
        <v>3579</v>
      </c>
      <c r="AK6462" s="5" t="s">
        <v>3618</v>
      </c>
    </row>
    <row r="6463" spans="35:37">
      <c r="AI6463" s="468">
        <v>48835</v>
      </c>
      <c r="AJ6463" s="5" t="s">
        <v>3624</v>
      </c>
      <c r="AK6463" s="5" t="s">
        <v>3620</v>
      </c>
    </row>
    <row r="6464" spans="35:37">
      <c r="AI6464" s="468">
        <v>48836</v>
      </c>
      <c r="AJ6464" s="5" t="s">
        <v>3626</v>
      </c>
      <c r="AK6464" s="5" t="s">
        <v>3622</v>
      </c>
    </row>
    <row r="6465" spans="35:37">
      <c r="AI6465" s="468">
        <v>48837</v>
      </c>
      <c r="AJ6465" s="5" t="s">
        <v>3628</v>
      </c>
      <c r="AK6465" s="5" t="s">
        <v>3623</v>
      </c>
    </row>
    <row r="6466" spans="35:37">
      <c r="AI6466" s="468">
        <v>48838</v>
      </c>
      <c r="AJ6466" s="5" t="s">
        <v>3617</v>
      </c>
      <c r="AK6466" s="5" t="s">
        <v>3625</v>
      </c>
    </row>
    <row r="6467" spans="35:37">
      <c r="AI6467" s="468">
        <v>48839</v>
      </c>
      <c r="AJ6467" s="5" t="s">
        <v>3619</v>
      </c>
      <c r="AK6467" s="5" t="s">
        <v>3627</v>
      </c>
    </row>
    <row r="6468" spans="35:37">
      <c r="AI6468" s="468">
        <v>48840</v>
      </c>
      <c r="AJ6468" s="5" t="s">
        <v>3621</v>
      </c>
      <c r="AK6468" s="5" t="s">
        <v>3618</v>
      </c>
    </row>
    <row r="6469" spans="35:37">
      <c r="AI6469" s="468">
        <v>48841</v>
      </c>
      <c r="AJ6469" s="5" t="s">
        <v>3579</v>
      </c>
      <c r="AK6469" s="5" t="s">
        <v>3620</v>
      </c>
    </row>
    <row r="6470" spans="35:37">
      <c r="AI6470" s="468">
        <v>48842</v>
      </c>
      <c r="AJ6470" s="5" t="s">
        <v>3624</v>
      </c>
      <c r="AK6470" s="5" t="s">
        <v>3622</v>
      </c>
    </row>
    <row r="6471" spans="35:37">
      <c r="AI6471" s="468">
        <v>48843</v>
      </c>
      <c r="AJ6471" s="5" t="s">
        <v>3626</v>
      </c>
      <c r="AK6471" s="5" t="s">
        <v>3623</v>
      </c>
    </row>
    <row r="6472" spans="35:37">
      <c r="AI6472" s="468">
        <v>48844</v>
      </c>
      <c r="AJ6472" s="5" t="s">
        <v>3628</v>
      </c>
      <c r="AK6472" s="5" t="s">
        <v>3625</v>
      </c>
    </row>
    <row r="6473" spans="35:37">
      <c r="AI6473" s="468">
        <v>48845</v>
      </c>
      <c r="AJ6473" s="5" t="s">
        <v>3617</v>
      </c>
      <c r="AK6473" s="5" t="s">
        <v>3620</v>
      </c>
    </row>
    <row r="6474" spans="35:37">
      <c r="AI6474" s="468">
        <v>48846</v>
      </c>
      <c r="AJ6474" s="5" t="s">
        <v>3619</v>
      </c>
      <c r="AK6474" s="5" t="s">
        <v>3622</v>
      </c>
    </row>
    <row r="6475" spans="35:37">
      <c r="AI6475" s="468">
        <v>48847</v>
      </c>
      <c r="AJ6475" s="5" t="s">
        <v>3621</v>
      </c>
      <c r="AK6475" s="5" t="s">
        <v>3623</v>
      </c>
    </row>
    <row r="6476" spans="35:37">
      <c r="AI6476" s="468">
        <v>48848</v>
      </c>
      <c r="AJ6476" s="5" t="s">
        <v>3579</v>
      </c>
      <c r="AK6476" s="5" t="s">
        <v>3625</v>
      </c>
    </row>
    <row r="6477" spans="35:37">
      <c r="AI6477" s="468">
        <v>48849</v>
      </c>
      <c r="AJ6477" s="5" t="s">
        <v>3624</v>
      </c>
      <c r="AK6477" s="5" t="s">
        <v>3627</v>
      </c>
    </row>
    <row r="6478" spans="35:37">
      <c r="AI6478" s="468">
        <v>48850</v>
      </c>
      <c r="AJ6478" s="5" t="s">
        <v>3626</v>
      </c>
      <c r="AK6478" s="5" t="s">
        <v>3618</v>
      </c>
    </row>
    <row r="6479" spans="35:37">
      <c r="AI6479" s="468">
        <v>48851</v>
      </c>
      <c r="AJ6479" s="5" t="s">
        <v>3628</v>
      </c>
      <c r="AK6479" s="5" t="s">
        <v>3620</v>
      </c>
    </row>
    <row r="6480" spans="35:37">
      <c r="AI6480" s="468">
        <v>48852</v>
      </c>
      <c r="AJ6480" s="5" t="s">
        <v>3617</v>
      </c>
      <c r="AK6480" s="5" t="s">
        <v>3622</v>
      </c>
    </row>
    <row r="6481" spans="35:37">
      <c r="AI6481" s="468">
        <v>48853</v>
      </c>
      <c r="AJ6481" s="5" t="s">
        <v>3619</v>
      </c>
      <c r="AK6481" s="5" t="s">
        <v>3623</v>
      </c>
    </row>
    <row r="6482" spans="35:37">
      <c r="AI6482" s="468">
        <v>48854</v>
      </c>
      <c r="AJ6482" s="5" t="s">
        <v>3621</v>
      </c>
      <c r="AK6482" s="5" t="s">
        <v>3625</v>
      </c>
    </row>
    <row r="6483" spans="35:37">
      <c r="AI6483" s="468">
        <v>48855</v>
      </c>
      <c r="AJ6483" s="5" t="s">
        <v>3579</v>
      </c>
      <c r="AK6483" s="5" t="s">
        <v>3627</v>
      </c>
    </row>
    <row r="6484" spans="35:37">
      <c r="AI6484" s="468">
        <v>48856</v>
      </c>
      <c r="AJ6484" s="5" t="s">
        <v>3624</v>
      </c>
      <c r="AK6484" s="5" t="s">
        <v>3618</v>
      </c>
    </row>
    <row r="6485" spans="35:37">
      <c r="AI6485" s="468">
        <v>48857</v>
      </c>
      <c r="AJ6485" s="5" t="s">
        <v>3626</v>
      </c>
      <c r="AK6485" s="5" t="s">
        <v>3620</v>
      </c>
    </row>
    <row r="6486" spans="35:37">
      <c r="AI6486" s="468">
        <v>48858</v>
      </c>
      <c r="AJ6486" s="5" t="s">
        <v>3628</v>
      </c>
      <c r="AK6486" s="5" t="s">
        <v>3622</v>
      </c>
    </row>
    <row r="6487" spans="35:37">
      <c r="AI6487" s="468">
        <v>48859</v>
      </c>
      <c r="AJ6487" s="5" t="s">
        <v>3617</v>
      </c>
      <c r="AK6487" s="5" t="s">
        <v>3623</v>
      </c>
    </row>
    <row r="6488" spans="35:37">
      <c r="AI6488" s="468">
        <v>48860</v>
      </c>
      <c r="AJ6488" s="5" t="s">
        <v>3619</v>
      </c>
      <c r="AK6488" s="5" t="s">
        <v>3625</v>
      </c>
    </row>
    <row r="6489" spans="35:37">
      <c r="AI6489" s="468">
        <v>48861</v>
      </c>
      <c r="AJ6489" s="5" t="s">
        <v>3621</v>
      </c>
      <c r="AK6489" s="5" t="s">
        <v>3627</v>
      </c>
    </row>
    <row r="6490" spans="35:37">
      <c r="AI6490" s="468">
        <v>48862</v>
      </c>
      <c r="AJ6490" s="5" t="s">
        <v>3579</v>
      </c>
      <c r="AK6490" s="5" t="s">
        <v>3618</v>
      </c>
    </row>
    <row r="6491" spans="35:37">
      <c r="AI6491" s="468">
        <v>48863</v>
      </c>
      <c r="AJ6491" s="5" t="s">
        <v>3624</v>
      </c>
      <c r="AK6491" s="5" t="s">
        <v>3620</v>
      </c>
    </row>
    <row r="6492" spans="35:37">
      <c r="AI6492" s="468">
        <v>48864</v>
      </c>
      <c r="AJ6492" s="5" t="s">
        <v>3626</v>
      </c>
      <c r="AK6492" s="5" t="s">
        <v>3622</v>
      </c>
    </row>
    <row r="6493" spans="35:37">
      <c r="AI6493" s="468">
        <v>48865</v>
      </c>
      <c r="AJ6493" s="5" t="s">
        <v>3628</v>
      </c>
      <c r="AK6493" s="5" t="s">
        <v>3623</v>
      </c>
    </row>
    <row r="6494" spans="35:37">
      <c r="AI6494" s="468">
        <v>48866</v>
      </c>
      <c r="AJ6494" s="5" t="s">
        <v>3617</v>
      </c>
      <c r="AK6494" s="5" t="s">
        <v>3625</v>
      </c>
    </row>
    <row r="6495" spans="35:37">
      <c r="AI6495" s="468">
        <v>48867</v>
      </c>
      <c r="AJ6495" s="5" t="s">
        <v>3619</v>
      </c>
      <c r="AK6495" s="5" t="s">
        <v>3627</v>
      </c>
    </row>
    <row r="6496" spans="35:37">
      <c r="AI6496" s="468">
        <v>48868</v>
      </c>
      <c r="AJ6496" s="5" t="s">
        <v>3621</v>
      </c>
      <c r="AK6496" s="5" t="s">
        <v>3618</v>
      </c>
    </row>
    <row r="6497" spans="35:37">
      <c r="AI6497" s="468">
        <v>48869</v>
      </c>
      <c r="AJ6497" s="5" t="s">
        <v>3579</v>
      </c>
      <c r="AK6497" s="5" t="s">
        <v>3620</v>
      </c>
    </row>
    <row r="6498" spans="35:37">
      <c r="AI6498" s="468">
        <v>48870</v>
      </c>
      <c r="AJ6498" s="5" t="s">
        <v>3624</v>
      </c>
      <c r="AK6498" s="5" t="s">
        <v>3622</v>
      </c>
    </row>
    <row r="6499" spans="35:37">
      <c r="AI6499" s="468">
        <v>48871</v>
      </c>
      <c r="AJ6499" s="5" t="s">
        <v>3626</v>
      </c>
      <c r="AK6499" s="5" t="s">
        <v>3623</v>
      </c>
    </row>
    <row r="6500" spans="35:37">
      <c r="AI6500" s="468">
        <v>48872</v>
      </c>
      <c r="AJ6500" s="5" t="s">
        <v>3628</v>
      </c>
      <c r="AK6500" s="5" t="s">
        <v>3625</v>
      </c>
    </row>
    <row r="6501" spans="35:37">
      <c r="AI6501" s="468">
        <v>48873</v>
      </c>
      <c r="AJ6501" s="5" t="s">
        <v>3617</v>
      </c>
      <c r="AK6501" s="5" t="s">
        <v>3627</v>
      </c>
    </row>
    <row r="6502" spans="35:37">
      <c r="AI6502" s="468">
        <v>48874</v>
      </c>
      <c r="AJ6502" s="5" t="s">
        <v>3619</v>
      </c>
      <c r="AK6502" s="5" t="s">
        <v>3618</v>
      </c>
    </row>
    <row r="6503" spans="35:37">
      <c r="AI6503" s="468">
        <v>48875</v>
      </c>
      <c r="AJ6503" s="5" t="s">
        <v>3621</v>
      </c>
      <c r="AK6503" s="5" t="s">
        <v>3622</v>
      </c>
    </row>
    <row r="6504" spans="35:37">
      <c r="AI6504" s="468">
        <v>48876</v>
      </c>
      <c r="AJ6504" s="5" t="s">
        <v>3579</v>
      </c>
      <c r="AK6504" s="5" t="s">
        <v>3623</v>
      </c>
    </row>
    <row r="6505" spans="35:37">
      <c r="AI6505" s="468">
        <v>48877</v>
      </c>
      <c r="AJ6505" s="5" t="s">
        <v>3624</v>
      </c>
      <c r="AK6505" s="5" t="s">
        <v>3625</v>
      </c>
    </row>
    <row r="6506" spans="35:37">
      <c r="AI6506" s="468">
        <v>48878</v>
      </c>
      <c r="AJ6506" s="5" t="s">
        <v>3626</v>
      </c>
      <c r="AK6506" s="5" t="s">
        <v>3627</v>
      </c>
    </row>
    <row r="6507" spans="35:37">
      <c r="AI6507" s="468">
        <v>48879</v>
      </c>
      <c r="AJ6507" s="5" t="s">
        <v>3628</v>
      </c>
      <c r="AK6507" s="5" t="s">
        <v>3618</v>
      </c>
    </row>
    <row r="6508" spans="35:37">
      <c r="AI6508" s="468">
        <v>48880</v>
      </c>
      <c r="AJ6508" s="5" t="s">
        <v>3617</v>
      </c>
      <c r="AK6508" s="5" t="s">
        <v>3620</v>
      </c>
    </row>
    <row r="6509" spans="35:37">
      <c r="AI6509" s="468">
        <v>48881</v>
      </c>
      <c r="AJ6509" s="5" t="s">
        <v>3619</v>
      </c>
      <c r="AK6509" s="5" t="s">
        <v>3622</v>
      </c>
    </row>
    <row r="6510" spans="35:37">
      <c r="AI6510" s="468">
        <v>48882</v>
      </c>
      <c r="AJ6510" s="5" t="s">
        <v>3621</v>
      </c>
      <c r="AK6510" s="5" t="s">
        <v>3623</v>
      </c>
    </row>
    <row r="6511" spans="35:37">
      <c r="AI6511" s="468">
        <v>48883</v>
      </c>
      <c r="AJ6511" s="5" t="s">
        <v>3579</v>
      </c>
      <c r="AK6511" s="5" t="s">
        <v>3625</v>
      </c>
    </row>
    <row r="6512" spans="35:37">
      <c r="AI6512" s="468">
        <v>48884</v>
      </c>
      <c r="AJ6512" s="5" t="s">
        <v>3624</v>
      </c>
      <c r="AK6512" s="5" t="s">
        <v>3627</v>
      </c>
    </row>
    <row r="6513" spans="35:37">
      <c r="AI6513" s="468">
        <v>48885</v>
      </c>
      <c r="AJ6513" s="5" t="s">
        <v>3626</v>
      </c>
      <c r="AK6513" s="5" t="s">
        <v>3618</v>
      </c>
    </row>
    <row r="6514" spans="35:37">
      <c r="AI6514" s="468">
        <v>48886</v>
      </c>
      <c r="AJ6514" s="5" t="s">
        <v>3628</v>
      </c>
      <c r="AK6514" s="5" t="s">
        <v>3620</v>
      </c>
    </row>
    <row r="6515" spans="35:37">
      <c r="AI6515" s="468">
        <v>48887</v>
      </c>
      <c r="AJ6515" s="5" t="s">
        <v>3617</v>
      </c>
      <c r="AK6515" s="5" t="s">
        <v>3622</v>
      </c>
    </row>
    <row r="6516" spans="35:37">
      <c r="AI6516" s="468">
        <v>48888</v>
      </c>
      <c r="AJ6516" s="5" t="s">
        <v>3619</v>
      </c>
      <c r="AK6516" s="5" t="s">
        <v>3623</v>
      </c>
    </row>
    <row r="6517" spans="35:37">
      <c r="AI6517" s="468">
        <v>48889</v>
      </c>
      <c r="AJ6517" s="5" t="s">
        <v>3621</v>
      </c>
      <c r="AK6517" s="5" t="s">
        <v>3625</v>
      </c>
    </row>
    <row r="6518" spans="35:37">
      <c r="AI6518" s="468">
        <v>48890</v>
      </c>
      <c r="AJ6518" s="5" t="s">
        <v>3579</v>
      </c>
      <c r="AK6518" s="5" t="s">
        <v>3627</v>
      </c>
    </row>
    <row r="6519" spans="35:37">
      <c r="AI6519" s="468">
        <v>48891</v>
      </c>
      <c r="AJ6519" s="5" t="s">
        <v>3624</v>
      </c>
      <c r="AK6519" s="5" t="s">
        <v>3618</v>
      </c>
    </row>
    <row r="6520" spans="35:37">
      <c r="AI6520" s="468">
        <v>48892</v>
      </c>
      <c r="AJ6520" s="5" t="s">
        <v>3626</v>
      </c>
      <c r="AK6520" s="5" t="s">
        <v>3620</v>
      </c>
    </row>
    <row r="6521" spans="35:37">
      <c r="AI6521" s="468">
        <v>48893</v>
      </c>
      <c r="AJ6521" s="5" t="s">
        <v>3628</v>
      </c>
      <c r="AK6521" s="5" t="s">
        <v>3622</v>
      </c>
    </row>
    <row r="6522" spans="35:37">
      <c r="AI6522" s="468">
        <v>48894</v>
      </c>
      <c r="AJ6522" s="5" t="s">
        <v>3617</v>
      </c>
      <c r="AK6522" s="5" t="s">
        <v>3623</v>
      </c>
    </row>
    <row r="6523" spans="35:37">
      <c r="AI6523" s="468">
        <v>48895</v>
      </c>
      <c r="AJ6523" s="5" t="s">
        <v>3619</v>
      </c>
      <c r="AK6523" s="5" t="s">
        <v>3625</v>
      </c>
    </row>
    <row r="6524" spans="35:37">
      <c r="AI6524" s="468">
        <v>48896</v>
      </c>
      <c r="AJ6524" s="5" t="s">
        <v>3621</v>
      </c>
      <c r="AK6524" s="5" t="s">
        <v>3627</v>
      </c>
    </row>
    <row r="6525" spans="35:37">
      <c r="AI6525" s="468">
        <v>48897</v>
      </c>
      <c r="AJ6525" s="5" t="s">
        <v>3579</v>
      </c>
      <c r="AK6525" s="5" t="s">
        <v>3618</v>
      </c>
    </row>
    <row r="6526" spans="35:37">
      <c r="AI6526" s="468">
        <v>48898</v>
      </c>
      <c r="AJ6526" s="5" t="s">
        <v>3624</v>
      </c>
      <c r="AK6526" s="5" t="s">
        <v>3620</v>
      </c>
    </row>
    <row r="6527" spans="35:37">
      <c r="AI6527" s="468">
        <v>48899</v>
      </c>
      <c r="AJ6527" s="5" t="s">
        <v>3626</v>
      </c>
      <c r="AK6527" s="5" t="s">
        <v>3622</v>
      </c>
    </row>
    <row r="6528" spans="35:37">
      <c r="AI6528" s="468">
        <v>48900</v>
      </c>
      <c r="AJ6528" s="5" t="s">
        <v>3628</v>
      </c>
      <c r="AK6528" s="5" t="s">
        <v>3623</v>
      </c>
    </row>
    <row r="6529" spans="35:37">
      <c r="AI6529" s="468">
        <v>48901</v>
      </c>
      <c r="AJ6529" s="5" t="s">
        <v>3617</v>
      </c>
      <c r="AK6529" s="5" t="s">
        <v>3625</v>
      </c>
    </row>
    <row r="6530" spans="35:37">
      <c r="AI6530" s="468">
        <v>48902</v>
      </c>
      <c r="AJ6530" s="5" t="s">
        <v>3619</v>
      </c>
      <c r="AK6530" s="5" t="s">
        <v>3627</v>
      </c>
    </row>
    <row r="6531" spans="35:37">
      <c r="AI6531" s="468">
        <v>48903</v>
      </c>
      <c r="AJ6531" s="5" t="s">
        <v>3621</v>
      </c>
      <c r="AK6531" s="5" t="s">
        <v>3618</v>
      </c>
    </row>
    <row r="6532" spans="35:37">
      <c r="AI6532" s="468">
        <v>48904</v>
      </c>
      <c r="AJ6532" s="5" t="s">
        <v>3579</v>
      </c>
      <c r="AK6532" s="5" t="s">
        <v>3620</v>
      </c>
    </row>
    <row r="6533" spans="35:37">
      <c r="AI6533" s="468">
        <v>48905</v>
      </c>
      <c r="AJ6533" s="5" t="s">
        <v>3624</v>
      </c>
      <c r="AK6533" s="5" t="s">
        <v>3623</v>
      </c>
    </row>
    <row r="6534" spans="35:37">
      <c r="AI6534" s="468">
        <v>48906</v>
      </c>
      <c r="AJ6534" s="5" t="s">
        <v>3626</v>
      </c>
      <c r="AK6534" s="5" t="s">
        <v>3625</v>
      </c>
    </row>
    <row r="6535" spans="35:37">
      <c r="AI6535" s="468">
        <v>48907</v>
      </c>
      <c r="AJ6535" s="5" t="s">
        <v>3628</v>
      </c>
      <c r="AK6535" s="5" t="s">
        <v>3627</v>
      </c>
    </row>
    <row r="6536" spans="35:37">
      <c r="AI6536" s="468">
        <v>48908</v>
      </c>
      <c r="AJ6536" s="5" t="s">
        <v>3617</v>
      </c>
      <c r="AK6536" s="5" t="s">
        <v>3618</v>
      </c>
    </row>
    <row r="6537" spans="35:37">
      <c r="AI6537" s="468">
        <v>48909</v>
      </c>
      <c r="AJ6537" s="5" t="s">
        <v>3619</v>
      </c>
      <c r="AK6537" s="5" t="s">
        <v>3620</v>
      </c>
    </row>
    <row r="6538" spans="35:37">
      <c r="AI6538" s="468">
        <v>48910</v>
      </c>
      <c r="AJ6538" s="5" t="s">
        <v>3621</v>
      </c>
      <c r="AK6538" s="5" t="s">
        <v>3622</v>
      </c>
    </row>
    <row r="6539" spans="35:37">
      <c r="AI6539" s="468">
        <v>48911</v>
      </c>
      <c r="AJ6539" s="5" t="s">
        <v>3579</v>
      </c>
      <c r="AK6539" s="5" t="s">
        <v>3623</v>
      </c>
    </row>
    <row r="6540" spans="35:37">
      <c r="AI6540" s="468">
        <v>48912</v>
      </c>
      <c r="AJ6540" s="5" t="s">
        <v>3624</v>
      </c>
      <c r="AK6540" s="5" t="s">
        <v>3625</v>
      </c>
    </row>
    <row r="6541" spans="35:37">
      <c r="AI6541" s="468">
        <v>48913</v>
      </c>
      <c r="AJ6541" s="5" t="s">
        <v>3626</v>
      </c>
      <c r="AK6541" s="5" t="s">
        <v>3627</v>
      </c>
    </row>
    <row r="6542" spans="35:37">
      <c r="AI6542" s="468">
        <v>48914</v>
      </c>
      <c r="AJ6542" s="5" t="s">
        <v>3628</v>
      </c>
      <c r="AK6542" s="5" t="s">
        <v>3618</v>
      </c>
    </row>
    <row r="6543" spans="35:37">
      <c r="AI6543" s="468">
        <v>48915</v>
      </c>
      <c r="AJ6543" s="5" t="s">
        <v>3617</v>
      </c>
      <c r="AK6543" s="5" t="s">
        <v>3620</v>
      </c>
    </row>
    <row r="6544" spans="35:37">
      <c r="AI6544" s="468">
        <v>48916</v>
      </c>
      <c r="AJ6544" s="5" t="s">
        <v>3619</v>
      </c>
      <c r="AK6544" s="5" t="s">
        <v>3622</v>
      </c>
    </row>
    <row r="6545" spans="35:37">
      <c r="AI6545" s="468">
        <v>48917</v>
      </c>
      <c r="AJ6545" s="5" t="s">
        <v>3621</v>
      </c>
      <c r="AK6545" s="5" t="s">
        <v>3623</v>
      </c>
    </row>
    <row r="6546" spans="35:37">
      <c r="AI6546" s="468">
        <v>48918</v>
      </c>
      <c r="AJ6546" s="5" t="s">
        <v>3579</v>
      </c>
      <c r="AK6546" s="5" t="s">
        <v>3625</v>
      </c>
    </row>
    <row r="6547" spans="35:37">
      <c r="AI6547" s="468">
        <v>48919</v>
      </c>
      <c r="AJ6547" s="5" t="s">
        <v>3624</v>
      </c>
      <c r="AK6547" s="5" t="s">
        <v>3627</v>
      </c>
    </row>
    <row r="6548" spans="35:37">
      <c r="AI6548" s="468">
        <v>48920</v>
      </c>
      <c r="AJ6548" s="5" t="s">
        <v>3626</v>
      </c>
      <c r="AK6548" s="5" t="s">
        <v>3618</v>
      </c>
    </row>
    <row r="6549" spans="35:37">
      <c r="AI6549" s="468">
        <v>48921</v>
      </c>
      <c r="AJ6549" s="5" t="s">
        <v>3628</v>
      </c>
      <c r="AK6549" s="5" t="s">
        <v>3620</v>
      </c>
    </row>
    <row r="6550" spans="35:37">
      <c r="AI6550" s="468">
        <v>48922</v>
      </c>
      <c r="AJ6550" s="5" t="s">
        <v>3617</v>
      </c>
      <c r="AK6550" s="5" t="s">
        <v>3622</v>
      </c>
    </row>
    <row r="6551" spans="35:37">
      <c r="AI6551" s="468">
        <v>48923</v>
      </c>
      <c r="AJ6551" s="5" t="s">
        <v>3619</v>
      </c>
      <c r="AK6551" s="5" t="s">
        <v>3623</v>
      </c>
    </row>
    <row r="6552" spans="35:37">
      <c r="AI6552" s="468">
        <v>48924</v>
      </c>
      <c r="AJ6552" s="5" t="s">
        <v>3621</v>
      </c>
      <c r="AK6552" s="5" t="s">
        <v>3625</v>
      </c>
    </row>
    <row r="6553" spans="35:37">
      <c r="AI6553" s="468">
        <v>48925</v>
      </c>
      <c r="AJ6553" s="5" t="s">
        <v>3579</v>
      </c>
      <c r="AK6553" s="5" t="s">
        <v>3627</v>
      </c>
    </row>
    <row r="6554" spans="35:37">
      <c r="AI6554" s="468">
        <v>48926</v>
      </c>
      <c r="AJ6554" s="5" t="s">
        <v>3624</v>
      </c>
      <c r="AK6554" s="5" t="s">
        <v>3618</v>
      </c>
    </row>
    <row r="6555" spans="35:37">
      <c r="AI6555" s="468">
        <v>48927</v>
      </c>
      <c r="AJ6555" s="5" t="s">
        <v>3626</v>
      </c>
      <c r="AK6555" s="5" t="s">
        <v>3620</v>
      </c>
    </row>
    <row r="6556" spans="35:37">
      <c r="AI6556" s="468">
        <v>48928</v>
      </c>
      <c r="AJ6556" s="5" t="s">
        <v>3628</v>
      </c>
      <c r="AK6556" s="5" t="s">
        <v>3622</v>
      </c>
    </row>
    <row r="6557" spans="35:37">
      <c r="AI6557" s="468">
        <v>48929</v>
      </c>
      <c r="AJ6557" s="5" t="s">
        <v>3617</v>
      </c>
      <c r="AK6557" s="5" t="s">
        <v>3623</v>
      </c>
    </row>
    <row r="6558" spans="35:37">
      <c r="AI6558" s="468">
        <v>48930</v>
      </c>
      <c r="AJ6558" s="5" t="s">
        <v>3619</v>
      </c>
      <c r="AK6558" s="5" t="s">
        <v>3625</v>
      </c>
    </row>
    <row r="6559" spans="35:37">
      <c r="AI6559" s="468">
        <v>48931</v>
      </c>
      <c r="AJ6559" s="5" t="s">
        <v>3621</v>
      </c>
      <c r="AK6559" s="5" t="s">
        <v>3627</v>
      </c>
    </row>
    <row r="6560" spans="35:37">
      <c r="AI6560" s="468">
        <v>48932</v>
      </c>
      <c r="AJ6560" s="5" t="s">
        <v>3579</v>
      </c>
      <c r="AK6560" s="5" t="s">
        <v>3618</v>
      </c>
    </row>
    <row r="6561" spans="35:37">
      <c r="AI6561" s="468">
        <v>48933</v>
      </c>
      <c r="AJ6561" s="5" t="s">
        <v>3624</v>
      </c>
      <c r="AK6561" s="5" t="s">
        <v>3620</v>
      </c>
    </row>
    <row r="6562" spans="35:37">
      <c r="AI6562" s="468">
        <v>48934</v>
      </c>
      <c r="AJ6562" s="5" t="s">
        <v>3626</v>
      </c>
      <c r="AK6562" s="5" t="s">
        <v>3622</v>
      </c>
    </row>
    <row r="6563" spans="35:37">
      <c r="AI6563" s="468">
        <v>48935</v>
      </c>
      <c r="AJ6563" s="5" t="s">
        <v>3628</v>
      </c>
      <c r="AK6563" s="5" t="s">
        <v>3623</v>
      </c>
    </row>
    <row r="6564" spans="35:37">
      <c r="AI6564" s="468">
        <v>48936</v>
      </c>
      <c r="AJ6564" s="5" t="s">
        <v>3617</v>
      </c>
      <c r="AK6564" s="5" t="s">
        <v>3625</v>
      </c>
    </row>
    <row r="6565" spans="35:37">
      <c r="AI6565" s="468">
        <v>48937</v>
      </c>
      <c r="AJ6565" s="5" t="s">
        <v>3619</v>
      </c>
      <c r="AK6565" s="5" t="s">
        <v>3627</v>
      </c>
    </row>
    <row r="6566" spans="35:37">
      <c r="AI6566" s="468">
        <v>48938</v>
      </c>
      <c r="AJ6566" s="5" t="s">
        <v>3621</v>
      </c>
      <c r="AK6566" s="5" t="s">
        <v>3618</v>
      </c>
    </row>
    <row r="6567" spans="35:37">
      <c r="AI6567" s="468">
        <v>48939</v>
      </c>
      <c r="AJ6567" s="5" t="s">
        <v>3579</v>
      </c>
      <c r="AK6567" s="5" t="s">
        <v>3620</v>
      </c>
    </row>
    <row r="6568" spans="35:37">
      <c r="AI6568" s="468">
        <v>48940</v>
      </c>
      <c r="AJ6568" s="5" t="s">
        <v>3624</v>
      </c>
      <c r="AK6568" s="5" t="s">
        <v>3622</v>
      </c>
    </row>
    <row r="6569" spans="35:37">
      <c r="AI6569" s="468">
        <v>48941</v>
      </c>
      <c r="AJ6569" s="5" t="s">
        <v>3626</v>
      </c>
      <c r="AK6569" s="5" t="s">
        <v>3623</v>
      </c>
    </row>
    <row r="6570" spans="35:37">
      <c r="AI6570" s="468">
        <v>48942</v>
      </c>
      <c r="AJ6570" s="5" t="s">
        <v>3628</v>
      </c>
      <c r="AK6570" s="5" t="s">
        <v>3625</v>
      </c>
    </row>
    <row r="6571" spans="35:37">
      <c r="AI6571" s="468">
        <v>48943</v>
      </c>
      <c r="AJ6571" s="5" t="s">
        <v>3617</v>
      </c>
      <c r="AK6571" s="5" t="s">
        <v>3627</v>
      </c>
    </row>
    <row r="6572" spans="35:37">
      <c r="AI6572" s="468">
        <v>48944</v>
      </c>
      <c r="AJ6572" s="5" t="s">
        <v>3619</v>
      </c>
      <c r="AK6572" s="5" t="s">
        <v>3618</v>
      </c>
    </row>
    <row r="6573" spans="35:37">
      <c r="AI6573" s="468">
        <v>48945</v>
      </c>
      <c r="AJ6573" s="5" t="s">
        <v>3621</v>
      </c>
      <c r="AK6573" s="5" t="s">
        <v>3620</v>
      </c>
    </row>
    <row r="6574" spans="35:37">
      <c r="AI6574" s="468">
        <v>48946</v>
      </c>
      <c r="AJ6574" s="5" t="s">
        <v>3579</v>
      </c>
      <c r="AK6574" s="5" t="s">
        <v>3622</v>
      </c>
    </row>
    <row r="6575" spans="35:37">
      <c r="AI6575" s="468">
        <v>48947</v>
      </c>
      <c r="AJ6575" s="5" t="s">
        <v>3624</v>
      </c>
      <c r="AK6575" s="5" t="s">
        <v>3623</v>
      </c>
    </row>
    <row r="6576" spans="35:37">
      <c r="AI6576" s="468">
        <v>48948</v>
      </c>
      <c r="AJ6576" s="5" t="s">
        <v>3626</v>
      </c>
      <c r="AK6576" s="5" t="s">
        <v>3625</v>
      </c>
    </row>
    <row r="6577" spans="35:37">
      <c r="AI6577" s="468">
        <v>48949</v>
      </c>
      <c r="AJ6577" s="5" t="s">
        <v>3628</v>
      </c>
      <c r="AK6577" s="5" t="s">
        <v>3627</v>
      </c>
    </row>
    <row r="6578" spans="35:37">
      <c r="AI6578" s="468">
        <v>48950</v>
      </c>
      <c r="AJ6578" s="5" t="s">
        <v>3617</v>
      </c>
      <c r="AK6578" s="5" t="s">
        <v>3618</v>
      </c>
    </row>
    <row r="6579" spans="35:37">
      <c r="AI6579" s="468">
        <v>48951</v>
      </c>
      <c r="AJ6579" s="5" t="s">
        <v>3619</v>
      </c>
      <c r="AK6579" s="5" t="s">
        <v>3620</v>
      </c>
    </row>
    <row r="6580" spans="35:37">
      <c r="AI6580" s="468">
        <v>48952</v>
      </c>
      <c r="AJ6580" s="5" t="s">
        <v>3621</v>
      </c>
      <c r="AK6580" s="5" t="s">
        <v>3622</v>
      </c>
    </row>
    <row r="6581" spans="35:37">
      <c r="AI6581" s="468">
        <v>48953</v>
      </c>
      <c r="AJ6581" s="5" t="s">
        <v>3579</v>
      </c>
      <c r="AK6581" s="5" t="s">
        <v>3623</v>
      </c>
    </row>
    <row r="6582" spans="35:37">
      <c r="AI6582" s="468">
        <v>48954</v>
      </c>
      <c r="AJ6582" s="5" t="s">
        <v>3624</v>
      </c>
      <c r="AK6582" s="5" t="s">
        <v>3625</v>
      </c>
    </row>
    <row r="6583" spans="35:37">
      <c r="AI6583" s="468">
        <v>48955</v>
      </c>
      <c r="AJ6583" s="5" t="s">
        <v>3626</v>
      </c>
      <c r="AK6583" s="5" t="s">
        <v>3627</v>
      </c>
    </row>
    <row r="6584" spans="35:37">
      <c r="AI6584" s="468">
        <v>48956</v>
      </c>
      <c r="AJ6584" s="5" t="s">
        <v>3628</v>
      </c>
      <c r="AK6584" s="5" t="s">
        <v>3618</v>
      </c>
    </row>
    <row r="6585" spans="35:37">
      <c r="AI6585" s="468">
        <v>48957</v>
      </c>
      <c r="AJ6585" s="5" t="s">
        <v>3617</v>
      </c>
      <c r="AK6585" s="5" t="s">
        <v>3620</v>
      </c>
    </row>
    <row r="6586" spans="35:37">
      <c r="AI6586" s="468">
        <v>48958</v>
      </c>
      <c r="AJ6586" s="5" t="s">
        <v>3619</v>
      </c>
      <c r="AK6586" s="5" t="s">
        <v>3622</v>
      </c>
    </row>
    <row r="6587" spans="35:37">
      <c r="AI6587" s="468">
        <v>48959</v>
      </c>
      <c r="AJ6587" s="5" t="s">
        <v>3621</v>
      </c>
      <c r="AK6587" s="5" t="s">
        <v>3623</v>
      </c>
    </row>
    <row r="6588" spans="35:37">
      <c r="AI6588" s="468">
        <v>48960</v>
      </c>
      <c r="AJ6588" s="5" t="s">
        <v>3579</v>
      </c>
      <c r="AK6588" s="5" t="s">
        <v>3625</v>
      </c>
    </row>
    <row r="6589" spans="35:37">
      <c r="AI6589" s="468">
        <v>48961</v>
      </c>
      <c r="AJ6589" s="5" t="s">
        <v>3624</v>
      </c>
      <c r="AK6589" s="5" t="s">
        <v>3627</v>
      </c>
    </row>
    <row r="6590" spans="35:37">
      <c r="AI6590" s="468">
        <v>48962</v>
      </c>
      <c r="AJ6590" s="5" t="s">
        <v>3626</v>
      </c>
      <c r="AK6590" s="5" t="s">
        <v>3618</v>
      </c>
    </row>
    <row r="6591" spans="35:37">
      <c r="AI6591" s="468">
        <v>48963</v>
      </c>
      <c r="AJ6591" s="5" t="s">
        <v>3628</v>
      </c>
      <c r="AK6591" s="5" t="s">
        <v>3620</v>
      </c>
    </row>
    <row r="6592" spans="35:37">
      <c r="AI6592" s="468">
        <v>48964</v>
      </c>
      <c r="AJ6592" s="5" t="s">
        <v>3617</v>
      </c>
      <c r="AK6592" s="5" t="s">
        <v>3625</v>
      </c>
    </row>
    <row r="6593" spans="35:37">
      <c r="AI6593" s="468">
        <v>48965</v>
      </c>
      <c r="AJ6593" s="5" t="s">
        <v>3619</v>
      </c>
      <c r="AK6593" s="5" t="s">
        <v>3627</v>
      </c>
    </row>
    <row r="6594" spans="35:37">
      <c r="AI6594" s="468">
        <v>48966</v>
      </c>
      <c r="AJ6594" s="5" t="s">
        <v>3621</v>
      </c>
      <c r="AK6594" s="5" t="s">
        <v>3618</v>
      </c>
    </row>
    <row r="6595" spans="35:37">
      <c r="AI6595" s="468">
        <v>48967</v>
      </c>
      <c r="AJ6595" s="5" t="s">
        <v>3579</v>
      </c>
      <c r="AK6595" s="5" t="s">
        <v>3620</v>
      </c>
    </row>
    <row r="6596" spans="35:37">
      <c r="AI6596" s="468">
        <v>48968</v>
      </c>
      <c r="AJ6596" s="5" t="s">
        <v>3624</v>
      </c>
      <c r="AK6596" s="5" t="s">
        <v>3622</v>
      </c>
    </row>
    <row r="6597" spans="35:37">
      <c r="AI6597" s="468">
        <v>48969</v>
      </c>
      <c r="AJ6597" s="5" t="s">
        <v>3626</v>
      </c>
      <c r="AK6597" s="5" t="s">
        <v>3623</v>
      </c>
    </row>
    <row r="6598" spans="35:37">
      <c r="AI6598" s="468">
        <v>48970</v>
      </c>
      <c r="AJ6598" s="5" t="s">
        <v>3628</v>
      </c>
      <c r="AK6598" s="5" t="s">
        <v>3625</v>
      </c>
    </row>
    <row r="6599" spans="35:37">
      <c r="AI6599" s="468">
        <v>48971</v>
      </c>
      <c r="AJ6599" s="5" t="s">
        <v>3617</v>
      </c>
      <c r="AK6599" s="5" t="s">
        <v>3627</v>
      </c>
    </row>
    <row r="6600" spans="35:37">
      <c r="AI6600" s="468">
        <v>48972</v>
      </c>
      <c r="AJ6600" s="5" t="s">
        <v>3619</v>
      </c>
      <c r="AK6600" s="5" t="s">
        <v>3618</v>
      </c>
    </row>
    <row r="6601" spans="35:37">
      <c r="AI6601" s="468">
        <v>48973</v>
      </c>
      <c r="AJ6601" s="5" t="s">
        <v>3621</v>
      </c>
      <c r="AK6601" s="5" t="s">
        <v>3620</v>
      </c>
    </row>
    <row r="6602" spans="35:37">
      <c r="AI6602" s="468">
        <v>48974</v>
      </c>
      <c r="AJ6602" s="5" t="s">
        <v>3579</v>
      </c>
      <c r="AK6602" s="5" t="s">
        <v>3622</v>
      </c>
    </row>
    <row r="6603" spans="35:37">
      <c r="AI6603" s="468">
        <v>48975</v>
      </c>
      <c r="AJ6603" s="5" t="s">
        <v>3624</v>
      </c>
      <c r="AK6603" s="5" t="s">
        <v>3623</v>
      </c>
    </row>
    <row r="6604" spans="35:37">
      <c r="AI6604" s="468">
        <v>48976</v>
      </c>
      <c r="AJ6604" s="5" t="s">
        <v>3626</v>
      </c>
      <c r="AK6604" s="5" t="s">
        <v>3625</v>
      </c>
    </row>
    <row r="6605" spans="35:37">
      <c r="AI6605" s="468">
        <v>48977</v>
      </c>
      <c r="AJ6605" s="5" t="s">
        <v>3628</v>
      </c>
      <c r="AK6605" s="5" t="s">
        <v>3627</v>
      </c>
    </row>
    <row r="6606" spans="35:37">
      <c r="AI6606" s="468">
        <v>48978</v>
      </c>
      <c r="AJ6606" s="5" t="s">
        <v>3617</v>
      </c>
      <c r="AK6606" s="5" t="s">
        <v>3618</v>
      </c>
    </row>
    <row r="6607" spans="35:37">
      <c r="AI6607" s="468">
        <v>48979</v>
      </c>
      <c r="AJ6607" s="5" t="s">
        <v>3619</v>
      </c>
      <c r="AK6607" s="5" t="s">
        <v>3620</v>
      </c>
    </row>
    <row r="6608" spans="35:37">
      <c r="AI6608" s="468">
        <v>48980</v>
      </c>
      <c r="AJ6608" s="5" t="s">
        <v>3621</v>
      </c>
      <c r="AK6608" s="5" t="s">
        <v>3622</v>
      </c>
    </row>
    <row r="6609" spans="35:37">
      <c r="AI6609" s="468">
        <v>48981</v>
      </c>
      <c r="AJ6609" s="5" t="s">
        <v>3579</v>
      </c>
      <c r="AK6609" s="5" t="s">
        <v>3623</v>
      </c>
    </row>
    <row r="6610" spans="35:37">
      <c r="AI6610" s="468">
        <v>48982</v>
      </c>
      <c r="AJ6610" s="5" t="s">
        <v>3624</v>
      </c>
      <c r="AK6610" s="5" t="s">
        <v>3625</v>
      </c>
    </row>
    <row r="6611" spans="35:37">
      <c r="AI6611" s="468">
        <v>48983</v>
      </c>
      <c r="AJ6611" s="5" t="s">
        <v>3626</v>
      </c>
      <c r="AK6611" s="5" t="s">
        <v>3627</v>
      </c>
    </row>
    <row r="6612" spans="35:37">
      <c r="AI6612" s="468">
        <v>48984</v>
      </c>
      <c r="AJ6612" s="5" t="s">
        <v>3628</v>
      </c>
      <c r="AK6612" s="5" t="s">
        <v>3618</v>
      </c>
    </row>
    <row r="6613" spans="35:37">
      <c r="AI6613" s="468">
        <v>48985</v>
      </c>
      <c r="AJ6613" s="5" t="s">
        <v>3617</v>
      </c>
      <c r="AK6613" s="5" t="s">
        <v>3620</v>
      </c>
    </row>
    <row r="6614" spans="35:37">
      <c r="AI6614" s="468">
        <v>48986</v>
      </c>
      <c r="AJ6614" s="5" t="s">
        <v>3619</v>
      </c>
      <c r="AK6614" s="5" t="s">
        <v>3622</v>
      </c>
    </row>
    <row r="6615" spans="35:37">
      <c r="AI6615" s="468">
        <v>48987</v>
      </c>
      <c r="AJ6615" s="5" t="s">
        <v>3621</v>
      </c>
      <c r="AK6615" s="5" t="s">
        <v>3623</v>
      </c>
    </row>
    <row r="6616" spans="35:37">
      <c r="AI6616" s="468">
        <v>48988</v>
      </c>
      <c r="AJ6616" s="5" t="s">
        <v>3579</v>
      </c>
      <c r="AK6616" s="5" t="s">
        <v>3625</v>
      </c>
    </row>
    <row r="6617" spans="35:37">
      <c r="AI6617" s="468">
        <v>48989</v>
      </c>
      <c r="AJ6617" s="5" t="s">
        <v>3624</v>
      </c>
      <c r="AK6617" s="5" t="s">
        <v>3627</v>
      </c>
    </row>
    <row r="6618" spans="35:37">
      <c r="AI6618" s="468">
        <v>48990</v>
      </c>
      <c r="AJ6618" s="5" t="s">
        <v>3626</v>
      </c>
      <c r="AK6618" s="5" t="s">
        <v>3618</v>
      </c>
    </row>
    <row r="6619" spans="35:37">
      <c r="AI6619" s="468">
        <v>48991</v>
      </c>
      <c r="AJ6619" s="5" t="s">
        <v>3628</v>
      </c>
      <c r="AK6619" s="5" t="s">
        <v>3620</v>
      </c>
    </row>
    <row r="6620" spans="35:37">
      <c r="AI6620" s="468">
        <v>48992</v>
      </c>
      <c r="AJ6620" s="5" t="s">
        <v>3617</v>
      </c>
      <c r="AK6620" s="5" t="s">
        <v>3622</v>
      </c>
    </row>
    <row r="6621" spans="35:37">
      <c r="AI6621" s="468">
        <v>48993</v>
      </c>
      <c r="AJ6621" s="5" t="s">
        <v>3619</v>
      </c>
      <c r="AK6621" s="5" t="s">
        <v>3623</v>
      </c>
    </row>
    <row r="6622" spans="35:37">
      <c r="AI6622" s="468">
        <v>48994</v>
      </c>
      <c r="AJ6622" s="5" t="s">
        <v>3621</v>
      </c>
      <c r="AK6622" s="5" t="s">
        <v>3627</v>
      </c>
    </row>
    <row r="6623" spans="35:37">
      <c r="AI6623" s="468">
        <v>48995</v>
      </c>
      <c r="AJ6623" s="5" t="s">
        <v>3579</v>
      </c>
      <c r="AK6623" s="5" t="s">
        <v>3618</v>
      </c>
    </row>
    <row r="6624" spans="35:37">
      <c r="AI6624" s="468">
        <v>48996</v>
      </c>
      <c r="AJ6624" s="5" t="s">
        <v>3624</v>
      </c>
      <c r="AK6624" s="5" t="s">
        <v>3620</v>
      </c>
    </row>
    <row r="6625" spans="35:37">
      <c r="AI6625" s="468">
        <v>48997</v>
      </c>
      <c r="AJ6625" s="5" t="s">
        <v>3626</v>
      </c>
      <c r="AK6625" s="5" t="s">
        <v>3622</v>
      </c>
    </row>
    <row r="6626" spans="35:37">
      <c r="AI6626" s="468">
        <v>48998</v>
      </c>
      <c r="AJ6626" s="5" t="s">
        <v>3628</v>
      </c>
      <c r="AK6626" s="5" t="s">
        <v>3623</v>
      </c>
    </row>
    <row r="6627" spans="35:37">
      <c r="AI6627" s="468">
        <v>48999</v>
      </c>
      <c r="AJ6627" s="5" t="s">
        <v>3617</v>
      </c>
      <c r="AK6627" s="5" t="s">
        <v>3625</v>
      </c>
    </row>
    <row r="6628" spans="35:37">
      <c r="AI6628" s="468">
        <v>49000</v>
      </c>
      <c r="AJ6628" s="5" t="s">
        <v>3619</v>
      </c>
      <c r="AK6628" s="5" t="s">
        <v>3627</v>
      </c>
    </row>
    <row r="6629" spans="35:37">
      <c r="AI6629" s="468">
        <v>49001</v>
      </c>
      <c r="AJ6629" s="5" t="s">
        <v>3621</v>
      </c>
      <c r="AK6629" s="5" t="s">
        <v>3618</v>
      </c>
    </row>
    <row r="6630" spans="35:37">
      <c r="AI6630" s="468">
        <v>49002</v>
      </c>
      <c r="AJ6630" s="5" t="s">
        <v>3579</v>
      </c>
      <c r="AK6630" s="5" t="s">
        <v>3620</v>
      </c>
    </row>
    <row r="6631" spans="35:37">
      <c r="AI6631" s="468">
        <v>49003</v>
      </c>
      <c r="AJ6631" s="5" t="s">
        <v>3624</v>
      </c>
      <c r="AK6631" s="5" t="s">
        <v>3622</v>
      </c>
    </row>
    <row r="6632" spans="35:37">
      <c r="AI6632" s="468">
        <v>49004</v>
      </c>
      <c r="AJ6632" s="5" t="s">
        <v>3626</v>
      </c>
      <c r="AK6632" s="5" t="s">
        <v>3623</v>
      </c>
    </row>
    <row r="6633" spans="35:37">
      <c r="AI6633" s="468">
        <v>49005</v>
      </c>
      <c r="AJ6633" s="5" t="s">
        <v>3628</v>
      </c>
      <c r="AK6633" s="5" t="s">
        <v>3625</v>
      </c>
    </row>
    <row r="6634" spans="35:37">
      <c r="AI6634" s="468">
        <v>49006</v>
      </c>
      <c r="AJ6634" s="5" t="s">
        <v>3617</v>
      </c>
      <c r="AK6634" s="5" t="s">
        <v>3627</v>
      </c>
    </row>
    <row r="6635" spans="35:37">
      <c r="AI6635" s="468">
        <v>49007</v>
      </c>
      <c r="AJ6635" s="5" t="s">
        <v>3619</v>
      </c>
      <c r="AK6635" s="5" t="s">
        <v>3618</v>
      </c>
    </row>
    <row r="6636" spans="35:37">
      <c r="AI6636" s="468">
        <v>49008</v>
      </c>
      <c r="AJ6636" s="5" t="s">
        <v>3621</v>
      </c>
      <c r="AK6636" s="5" t="s">
        <v>3620</v>
      </c>
    </row>
    <row r="6637" spans="35:37">
      <c r="AI6637" s="468">
        <v>49009</v>
      </c>
      <c r="AJ6637" s="5" t="s">
        <v>3579</v>
      </c>
      <c r="AK6637" s="5" t="s">
        <v>3622</v>
      </c>
    </row>
    <row r="6638" spans="35:37">
      <c r="AI6638" s="468">
        <v>49010</v>
      </c>
      <c r="AJ6638" s="5" t="s">
        <v>3624</v>
      </c>
      <c r="AK6638" s="5" t="s">
        <v>3623</v>
      </c>
    </row>
    <row r="6639" spans="35:37">
      <c r="AI6639" s="468">
        <v>49011</v>
      </c>
      <c r="AJ6639" s="5" t="s">
        <v>3626</v>
      </c>
      <c r="AK6639" s="5" t="s">
        <v>3625</v>
      </c>
    </row>
    <row r="6640" spans="35:37">
      <c r="AI6640" s="468">
        <v>49012</v>
      </c>
      <c r="AJ6640" s="5" t="s">
        <v>3628</v>
      </c>
      <c r="AK6640" s="5" t="s">
        <v>3627</v>
      </c>
    </row>
    <row r="6641" spans="35:37">
      <c r="AI6641" s="468">
        <v>49013</v>
      </c>
      <c r="AJ6641" s="5" t="s">
        <v>3617</v>
      </c>
      <c r="AK6641" s="5" t="s">
        <v>3618</v>
      </c>
    </row>
    <row r="6642" spans="35:37">
      <c r="AI6642" s="468">
        <v>49014</v>
      </c>
      <c r="AJ6642" s="5" t="s">
        <v>3619</v>
      </c>
      <c r="AK6642" s="5" t="s">
        <v>3620</v>
      </c>
    </row>
    <row r="6643" spans="35:37">
      <c r="AI6643" s="468">
        <v>49015</v>
      </c>
      <c r="AJ6643" s="5" t="s">
        <v>3621</v>
      </c>
      <c r="AK6643" s="5" t="s">
        <v>3622</v>
      </c>
    </row>
    <row r="6644" spans="35:37">
      <c r="AI6644" s="468">
        <v>49016</v>
      </c>
      <c r="AJ6644" s="5" t="s">
        <v>3579</v>
      </c>
      <c r="AK6644" s="5" t="s">
        <v>3623</v>
      </c>
    </row>
    <row r="6645" spans="35:37">
      <c r="AI6645" s="468">
        <v>49017</v>
      </c>
      <c r="AJ6645" s="5" t="s">
        <v>3624</v>
      </c>
      <c r="AK6645" s="5" t="s">
        <v>3625</v>
      </c>
    </row>
    <row r="6646" spans="35:37">
      <c r="AI6646" s="468">
        <v>49018</v>
      </c>
      <c r="AJ6646" s="5" t="s">
        <v>3626</v>
      </c>
      <c r="AK6646" s="5" t="s">
        <v>3627</v>
      </c>
    </row>
    <row r="6647" spans="35:37">
      <c r="AI6647" s="468">
        <v>49019</v>
      </c>
      <c r="AJ6647" s="5" t="s">
        <v>3628</v>
      </c>
      <c r="AK6647" s="5" t="s">
        <v>3618</v>
      </c>
    </row>
    <row r="6648" spans="35:37">
      <c r="AI6648" s="468">
        <v>49020</v>
      </c>
      <c r="AJ6648" s="5" t="s">
        <v>3617</v>
      </c>
      <c r="AK6648" s="5" t="s">
        <v>3620</v>
      </c>
    </row>
    <row r="6649" spans="35:37">
      <c r="AI6649" s="468">
        <v>49021</v>
      </c>
      <c r="AJ6649" s="5" t="s">
        <v>3619</v>
      </c>
      <c r="AK6649" s="5" t="s">
        <v>3622</v>
      </c>
    </row>
    <row r="6650" spans="35:37">
      <c r="AI6650" s="468">
        <v>49022</v>
      </c>
      <c r="AJ6650" s="5" t="s">
        <v>3621</v>
      </c>
      <c r="AK6650" s="5" t="s">
        <v>3623</v>
      </c>
    </row>
    <row r="6651" spans="35:37">
      <c r="AI6651" s="468">
        <v>49023</v>
      </c>
      <c r="AJ6651" s="5" t="s">
        <v>3579</v>
      </c>
      <c r="AK6651" s="5" t="s">
        <v>3618</v>
      </c>
    </row>
    <row r="6652" spans="35:37">
      <c r="AI6652" s="468">
        <v>49024</v>
      </c>
      <c r="AJ6652" s="5" t="s">
        <v>3624</v>
      </c>
      <c r="AK6652" s="5" t="s">
        <v>3620</v>
      </c>
    </row>
    <row r="6653" spans="35:37">
      <c r="AI6653" s="468">
        <v>49025</v>
      </c>
      <c r="AJ6653" s="5" t="s">
        <v>3626</v>
      </c>
      <c r="AK6653" s="5" t="s">
        <v>3622</v>
      </c>
    </row>
    <row r="6654" spans="35:37">
      <c r="AI6654" s="468">
        <v>49026</v>
      </c>
      <c r="AJ6654" s="5" t="s">
        <v>3628</v>
      </c>
      <c r="AK6654" s="5" t="s">
        <v>3623</v>
      </c>
    </row>
    <row r="6655" spans="35:37">
      <c r="AI6655" s="468">
        <v>49027</v>
      </c>
      <c r="AJ6655" s="5" t="s">
        <v>3617</v>
      </c>
      <c r="AK6655" s="5" t="s">
        <v>3625</v>
      </c>
    </row>
    <row r="6656" spans="35:37">
      <c r="AI6656" s="468">
        <v>49028</v>
      </c>
      <c r="AJ6656" s="5" t="s">
        <v>3619</v>
      </c>
      <c r="AK6656" s="5" t="s">
        <v>3627</v>
      </c>
    </row>
    <row r="6657" spans="35:37">
      <c r="AI6657" s="468">
        <v>49029</v>
      </c>
      <c r="AJ6657" s="5" t="s">
        <v>3621</v>
      </c>
      <c r="AK6657" s="5" t="s">
        <v>3618</v>
      </c>
    </row>
    <row r="6658" spans="35:37">
      <c r="AI6658" s="468">
        <v>49030</v>
      </c>
      <c r="AJ6658" s="5" t="s">
        <v>3579</v>
      </c>
      <c r="AK6658" s="5" t="s">
        <v>3620</v>
      </c>
    </row>
    <row r="6659" spans="35:37">
      <c r="AI6659" s="468">
        <v>49031</v>
      </c>
      <c r="AJ6659" s="5" t="s">
        <v>3624</v>
      </c>
      <c r="AK6659" s="5" t="s">
        <v>3622</v>
      </c>
    </row>
    <row r="6660" spans="35:37">
      <c r="AI6660" s="468">
        <v>49032</v>
      </c>
      <c r="AJ6660" s="5" t="s">
        <v>3626</v>
      </c>
      <c r="AK6660" s="5" t="s">
        <v>3623</v>
      </c>
    </row>
    <row r="6661" spans="35:37">
      <c r="AI6661" s="468">
        <v>49033</v>
      </c>
      <c r="AJ6661" s="5" t="s">
        <v>3628</v>
      </c>
      <c r="AK6661" s="5" t="s">
        <v>3625</v>
      </c>
    </row>
    <row r="6662" spans="35:37">
      <c r="AI6662" s="468">
        <v>49034</v>
      </c>
      <c r="AJ6662" s="5" t="s">
        <v>3617</v>
      </c>
      <c r="AK6662" s="5" t="s">
        <v>3627</v>
      </c>
    </row>
    <row r="6663" spans="35:37">
      <c r="AI6663" s="468">
        <v>49035</v>
      </c>
      <c r="AJ6663" s="5" t="s">
        <v>3619</v>
      </c>
      <c r="AK6663" s="5" t="s">
        <v>3618</v>
      </c>
    </row>
    <row r="6664" spans="35:37">
      <c r="AI6664" s="468">
        <v>49036</v>
      </c>
      <c r="AJ6664" s="5" t="s">
        <v>3621</v>
      </c>
      <c r="AK6664" s="5" t="s">
        <v>3620</v>
      </c>
    </row>
    <row r="6665" spans="35:37">
      <c r="AI6665" s="468">
        <v>49037</v>
      </c>
      <c r="AJ6665" s="5" t="s">
        <v>3579</v>
      </c>
      <c r="AK6665" s="5" t="s">
        <v>3622</v>
      </c>
    </row>
    <row r="6666" spans="35:37">
      <c r="AI6666" s="468">
        <v>49038</v>
      </c>
      <c r="AJ6666" s="5" t="s">
        <v>3624</v>
      </c>
      <c r="AK6666" s="5" t="s">
        <v>3623</v>
      </c>
    </row>
    <row r="6667" spans="35:37">
      <c r="AI6667" s="468">
        <v>49039</v>
      </c>
      <c r="AJ6667" s="5" t="s">
        <v>3626</v>
      </c>
      <c r="AK6667" s="5" t="s">
        <v>3625</v>
      </c>
    </row>
    <row r="6668" spans="35:37">
      <c r="AI6668" s="468">
        <v>49040</v>
      </c>
      <c r="AJ6668" s="5" t="s">
        <v>3628</v>
      </c>
      <c r="AK6668" s="5" t="s">
        <v>3627</v>
      </c>
    </row>
    <row r="6669" spans="35:37">
      <c r="AI6669" s="468">
        <v>49041</v>
      </c>
      <c r="AJ6669" s="5" t="s">
        <v>3617</v>
      </c>
      <c r="AK6669" s="5" t="s">
        <v>3618</v>
      </c>
    </row>
    <row r="6670" spans="35:37">
      <c r="AI6670" s="468">
        <v>49042</v>
      </c>
      <c r="AJ6670" s="5" t="s">
        <v>3619</v>
      </c>
      <c r="AK6670" s="5" t="s">
        <v>3620</v>
      </c>
    </row>
    <row r="6671" spans="35:37">
      <c r="AI6671" s="468">
        <v>49043</v>
      </c>
      <c r="AJ6671" s="5" t="s">
        <v>3621</v>
      </c>
      <c r="AK6671" s="5" t="s">
        <v>3622</v>
      </c>
    </row>
    <row r="6672" spans="35:37">
      <c r="AI6672" s="468">
        <v>49044</v>
      </c>
      <c r="AJ6672" s="5" t="s">
        <v>3579</v>
      </c>
      <c r="AK6672" s="5" t="s">
        <v>3623</v>
      </c>
    </row>
    <row r="6673" spans="35:37">
      <c r="AI6673" s="468">
        <v>49045</v>
      </c>
      <c r="AJ6673" s="5" t="s">
        <v>3624</v>
      </c>
      <c r="AK6673" s="5" t="s">
        <v>3625</v>
      </c>
    </row>
    <row r="6674" spans="35:37">
      <c r="AI6674" s="468">
        <v>49046</v>
      </c>
      <c r="AJ6674" s="5" t="s">
        <v>3626</v>
      </c>
      <c r="AK6674" s="5" t="s">
        <v>3627</v>
      </c>
    </row>
    <row r="6675" spans="35:37">
      <c r="AI6675" s="468">
        <v>49047</v>
      </c>
      <c r="AJ6675" s="5" t="s">
        <v>3628</v>
      </c>
      <c r="AK6675" s="5" t="s">
        <v>3618</v>
      </c>
    </row>
    <row r="6676" spans="35:37">
      <c r="AI6676" s="468">
        <v>49048</v>
      </c>
      <c r="AJ6676" s="5" t="s">
        <v>3617</v>
      </c>
      <c r="AK6676" s="5" t="s">
        <v>3620</v>
      </c>
    </row>
    <row r="6677" spans="35:37">
      <c r="AI6677" s="468">
        <v>49049</v>
      </c>
      <c r="AJ6677" s="5" t="s">
        <v>3619</v>
      </c>
      <c r="AK6677" s="5" t="s">
        <v>3622</v>
      </c>
    </row>
    <row r="6678" spans="35:37">
      <c r="AI6678" s="468">
        <v>49050</v>
      </c>
      <c r="AJ6678" s="5" t="s">
        <v>3621</v>
      </c>
      <c r="AK6678" s="5" t="s">
        <v>3623</v>
      </c>
    </row>
    <row r="6679" spans="35:37">
      <c r="AI6679" s="468">
        <v>49051</v>
      </c>
      <c r="AJ6679" s="5" t="s">
        <v>3579</v>
      </c>
      <c r="AK6679" s="5" t="s">
        <v>3625</v>
      </c>
    </row>
    <row r="6680" spans="35:37">
      <c r="AI6680" s="468">
        <v>49052</v>
      </c>
      <c r="AJ6680" s="5" t="s">
        <v>3624</v>
      </c>
      <c r="AK6680" s="5" t="s">
        <v>3627</v>
      </c>
    </row>
    <row r="6681" spans="35:37">
      <c r="AI6681" s="468">
        <v>49053</v>
      </c>
      <c r="AJ6681" s="5" t="s">
        <v>3626</v>
      </c>
      <c r="AK6681" s="5" t="s">
        <v>3620</v>
      </c>
    </row>
    <row r="6682" spans="35:37">
      <c r="AI6682" s="468">
        <v>49054</v>
      </c>
      <c r="AJ6682" s="5" t="s">
        <v>3628</v>
      </c>
      <c r="AK6682" s="5" t="s">
        <v>3622</v>
      </c>
    </row>
    <row r="6683" spans="35:37">
      <c r="AI6683" s="468">
        <v>49055</v>
      </c>
      <c r="AJ6683" s="5" t="s">
        <v>3617</v>
      </c>
      <c r="AK6683" s="5" t="s">
        <v>3623</v>
      </c>
    </row>
    <row r="6684" spans="35:37">
      <c r="AI6684" s="468">
        <v>49056</v>
      </c>
      <c r="AJ6684" s="5" t="s">
        <v>3619</v>
      </c>
      <c r="AK6684" s="5" t="s">
        <v>3625</v>
      </c>
    </row>
    <row r="6685" spans="35:37">
      <c r="AI6685" s="468">
        <v>49057</v>
      </c>
      <c r="AJ6685" s="5" t="s">
        <v>3621</v>
      </c>
      <c r="AK6685" s="5" t="s">
        <v>3627</v>
      </c>
    </row>
    <row r="6686" spans="35:37">
      <c r="AI6686" s="468">
        <v>49058</v>
      </c>
      <c r="AJ6686" s="5" t="s">
        <v>3579</v>
      </c>
      <c r="AK6686" s="5" t="s">
        <v>3618</v>
      </c>
    </row>
    <row r="6687" spans="35:37">
      <c r="AI6687" s="468">
        <v>49059</v>
      </c>
      <c r="AJ6687" s="5" t="s">
        <v>3624</v>
      </c>
      <c r="AK6687" s="5" t="s">
        <v>3620</v>
      </c>
    </row>
    <row r="6688" spans="35:37">
      <c r="AI6688" s="468">
        <v>49060</v>
      </c>
      <c r="AJ6688" s="5" t="s">
        <v>3626</v>
      </c>
      <c r="AK6688" s="5" t="s">
        <v>3622</v>
      </c>
    </row>
    <row r="6689" spans="35:37">
      <c r="AI6689" s="468">
        <v>49061</v>
      </c>
      <c r="AJ6689" s="5" t="s">
        <v>3628</v>
      </c>
      <c r="AK6689" s="5" t="s">
        <v>3623</v>
      </c>
    </row>
    <row r="6690" spans="35:37">
      <c r="AI6690" s="468">
        <v>49062</v>
      </c>
      <c r="AJ6690" s="5" t="s">
        <v>3617</v>
      </c>
      <c r="AK6690" s="5" t="s">
        <v>3625</v>
      </c>
    </row>
    <row r="6691" spans="35:37">
      <c r="AI6691" s="468">
        <v>49063</v>
      </c>
      <c r="AJ6691" s="5" t="s">
        <v>3619</v>
      </c>
      <c r="AK6691" s="5" t="s">
        <v>3627</v>
      </c>
    </row>
    <row r="6692" spans="35:37">
      <c r="AI6692" s="468">
        <v>49064</v>
      </c>
      <c r="AJ6692" s="5" t="s">
        <v>3621</v>
      </c>
      <c r="AK6692" s="5" t="s">
        <v>3618</v>
      </c>
    </row>
    <row r="6693" spans="35:37">
      <c r="AI6693" s="468">
        <v>49065</v>
      </c>
      <c r="AJ6693" s="5" t="s">
        <v>3579</v>
      </c>
      <c r="AK6693" s="5" t="s">
        <v>3620</v>
      </c>
    </row>
    <row r="6694" spans="35:37">
      <c r="AI6694" s="468">
        <v>49066</v>
      </c>
      <c r="AJ6694" s="5" t="s">
        <v>3624</v>
      </c>
      <c r="AK6694" s="5" t="s">
        <v>3622</v>
      </c>
    </row>
    <row r="6695" spans="35:37">
      <c r="AI6695" s="468">
        <v>49067</v>
      </c>
      <c r="AJ6695" s="5" t="s">
        <v>3626</v>
      </c>
      <c r="AK6695" s="5" t="s">
        <v>3623</v>
      </c>
    </row>
    <row r="6696" spans="35:37">
      <c r="AI6696" s="468">
        <v>49068</v>
      </c>
      <c r="AJ6696" s="5" t="s">
        <v>3628</v>
      </c>
      <c r="AK6696" s="5" t="s">
        <v>3625</v>
      </c>
    </row>
    <row r="6697" spans="35:37">
      <c r="AI6697" s="468">
        <v>49069</v>
      </c>
      <c r="AJ6697" s="5" t="s">
        <v>3617</v>
      </c>
      <c r="AK6697" s="5" t="s">
        <v>3627</v>
      </c>
    </row>
    <row r="6698" spans="35:37">
      <c r="AI6698" s="468">
        <v>49070</v>
      </c>
      <c r="AJ6698" s="5" t="s">
        <v>3619</v>
      </c>
      <c r="AK6698" s="5" t="s">
        <v>3618</v>
      </c>
    </row>
    <row r="6699" spans="35:37">
      <c r="AI6699" s="468">
        <v>49071</v>
      </c>
      <c r="AJ6699" s="5" t="s">
        <v>3621</v>
      </c>
      <c r="AK6699" s="5" t="s">
        <v>3620</v>
      </c>
    </row>
    <row r="6700" spans="35:37">
      <c r="AI6700" s="468">
        <v>49072</v>
      </c>
      <c r="AJ6700" s="5" t="s">
        <v>3579</v>
      </c>
      <c r="AK6700" s="5" t="s">
        <v>3622</v>
      </c>
    </row>
    <row r="6701" spans="35:37">
      <c r="AI6701" s="468">
        <v>49073</v>
      </c>
      <c r="AJ6701" s="5" t="s">
        <v>3624</v>
      </c>
      <c r="AK6701" s="5" t="s">
        <v>3623</v>
      </c>
    </row>
    <row r="6702" spans="35:37">
      <c r="AI6702" s="468">
        <v>49074</v>
      </c>
      <c r="AJ6702" s="5" t="s">
        <v>3626</v>
      </c>
      <c r="AK6702" s="5" t="s">
        <v>3625</v>
      </c>
    </row>
    <row r="6703" spans="35:37">
      <c r="AI6703" s="468">
        <v>49075</v>
      </c>
      <c r="AJ6703" s="5" t="s">
        <v>3628</v>
      </c>
      <c r="AK6703" s="5" t="s">
        <v>3627</v>
      </c>
    </row>
    <row r="6704" spans="35:37">
      <c r="AI6704" s="468">
        <v>49076</v>
      </c>
      <c r="AJ6704" s="5" t="s">
        <v>3617</v>
      </c>
      <c r="AK6704" s="5" t="s">
        <v>3618</v>
      </c>
    </row>
    <row r="6705" spans="35:37">
      <c r="AI6705" s="468">
        <v>49077</v>
      </c>
      <c r="AJ6705" s="5" t="s">
        <v>3619</v>
      </c>
      <c r="AK6705" s="5" t="s">
        <v>3620</v>
      </c>
    </row>
    <row r="6706" spans="35:37">
      <c r="AI6706" s="468">
        <v>49078</v>
      </c>
      <c r="AJ6706" s="5" t="s">
        <v>3621</v>
      </c>
      <c r="AK6706" s="5" t="s">
        <v>3622</v>
      </c>
    </row>
    <row r="6707" spans="35:37">
      <c r="AI6707" s="468">
        <v>49079</v>
      </c>
      <c r="AJ6707" s="5" t="s">
        <v>3579</v>
      </c>
      <c r="AK6707" s="5" t="s">
        <v>3623</v>
      </c>
    </row>
    <row r="6708" spans="35:37">
      <c r="AI6708" s="468">
        <v>49080</v>
      </c>
      <c r="AJ6708" s="5" t="s">
        <v>3624</v>
      </c>
      <c r="AK6708" s="5" t="s">
        <v>3625</v>
      </c>
    </row>
    <row r="6709" spans="35:37">
      <c r="AI6709" s="468">
        <v>49081</v>
      </c>
      <c r="AJ6709" s="5" t="s">
        <v>3626</v>
      </c>
      <c r="AK6709" s="5" t="s">
        <v>3627</v>
      </c>
    </row>
    <row r="6710" spans="35:37">
      <c r="AI6710" s="468">
        <v>49082</v>
      </c>
      <c r="AJ6710" s="5" t="s">
        <v>3628</v>
      </c>
      <c r="AK6710" s="5" t="s">
        <v>3622</v>
      </c>
    </row>
    <row r="6711" spans="35:37">
      <c r="AI6711" s="468">
        <v>49083</v>
      </c>
      <c r="AJ6711" s="5" t="s">
        <v>3617</v>
      </c>
      <c r="AK6711" s="5" t="s">
        <v>3623</v>
      </c>
    </row>
    <row r="6712" spans="35:37">
      <c r="AI6712" s="468">
        <v>49084</v>
      </c>
      <c r="AJ6712" s="5" t="s">
        <v>3619</v>
      </c>
      <c r="AK6712" s="5" t="s">
        <v>3625</v>
      </c>
    </row>
    <row r="6713" spans="35:37">
      <c r="AI6713" s="468">
        <v>49085</v>
      </c>
      <c r="AJ6713" s="5" t="s">
        <v>3621</v>
      </c>
      <c r="AK6713" s="5" t="s">
        <v>3627</v>
      </c>
    </row>
    <row r="6714" spans="35:37">
      <c r="AI6714" s="468">
        <v>49086</v>
      </c>
      <c r="AJ6714" s="5" t="s">
        <v>3579</v>
      </c>
      <c r="AK6714" s="5" t="s">
        <v>3618</v>
      </c>
    </row>
    <row r="6715" spans="35:37">
      <c r="AI6715" s="468">
        <v>49087</v>
      </c>
      <c r="AJ6715" s="5" t="s">
        <v>3624</v>
      </c>
      <c r="AK6715" s="5" t="s">
        <v>3620</v>
      </c>
    </row>
    <row r="6716" spans="35:37">
      <c r="AI6716" s="468">
        <v>49088</v>
      </c>
      <c r="AJ6716" s="5" t="s">
        <v>3626</v>
      </c>
      <c r="AK6716" s="5" t="s">
        <v>3622</v>
      </c>
    </row>
    <row r="6717" spans="35:37">
      <c r="AI6717" s="468">
        <v>49089</v>
      </c>
      <c r="AJ6717" s="5" t="s">
        <v>3628</v>
      </c>
      <c r="AK6717" s="5" t="s">
        <v>3623</v>
      </c>
    </row>
    <row r="6718" spans="35:37">
      <c r="AI6718" s="468">
        <v>49090</v>
      </c>
      <c r="AJ6718" s="5" t="s">
        <v>3617</v>
      </c>
      <c r="AK6718" s="5" t="s">
        <v>3625</v>
      </c>
    </row>
    <row r="6719" spans="35:37">
      <c r="AI6719" s="468">
        <v>49091</v>
      </c>
      <c r="AJ6719" s="5" t="s">
        <v>3619</v>
      </c>
      <c r="AK6719" s="5" t="s">
        <v>3627</v>
      </c>
    </row>
    <row r="6720" spans="35:37">
      <c r="AI6720" s="468">
        <v>49092</v>
      </c>
      <c r="AJ6720" s="5" t="s">
        <v>3621</v>
      </c>
      <c r="AK6720" s="5" t="s">
        <v>3618</v>
      </c>
    </row>
    <row r="6721" spans="35:37">
      <c r="AI6721" s="468">
        <v>49093</v>
      </c>
      <c r="AJ6721" s="5" t="s">
        <v>3579</v>
      </c>
      <c r="AK6721" s="5" t="s">
        <v>3620</v>
      </c>
    </row>
    <row r="6722" spans="35:37">
      <c r="AI6722" s="468">
        <v>49094</v>
      </c>
      <c r="AJ6722" s="5" t="s">
        <v>3624</v>
      </c>
      <c r="AK6722" s="5" t="s">
        <v>3622</v>
      </c>
    </row>
    <row r="6723" spans="35:37">
      <c r="AI6723" s="468">
        <v>49095</v>
      </c>
      <c r="AJ6723" s="5" t="s">
        <v>3626</v>
      </c>
      <c r="AK6723" s="5" t="s">
        <v>3623</v>
      </c>
    </row>
    <row r="6724" spans="35:37">
      <c r="AI6724" s="468">
        <v>49096</v>
      </c>
      <c r="AJ6724" s="5" t="s">
        <v>3628</v>
      </c>
      <c r="AK6724" s="5" t="s">
        <v>3625</v>
      </c>
    </row>
    <row r="6725" spans="35:37">
      <c r="AI6725" s="468">
        <v>49097</v>
      </c>
      <c r="AJ6725" s="5" t="s">
        <v>3617</v>
      </c>
      <c r="AK6725" s="5" t="s">
        <v>3627</v>
      </c>
    </row>
    <row r="6726" spans="35:37">
      <c r="AI6726" s="468">
        <v>49098</v>
      </c>
      <c r="AJ6726" s="5" t="s">
        <v>3619</v>
      </c>
      <c r="AK6726" s="5" t="s">
        <v>3618</v>
      </c>
    </row>
    <row r="6727" spans="35:37">
      <c r="AI6727" s="468">
        <v>49099</v>
      </c>
      <c r="AJ6727" s="5" t="s">
        <v>3621</v>
      </c>
      <c r="AK6727" s="5" t="s">
        <v>3620</v>
      </c>
    </row>
    <row r="6728" spans="35:37">
      <c r="AI6728" s="468">
        <v>49100</v>
      </c>
      <c r="AJ6728" s="5" t="s">
        <v>3579</v>
      </c>
      <c r="AK6728" s="5" t="s">
        <v>3622</v>
      </c>
    </row>
    <row r="6729" spans="35:37">
      <c r="AI6729" s="468">
        <v>49101</v>
      </c>
      <c r="AJ6729" s="5" t="s">
        <v>3624</v>
      </c>
      <c r="AK6729" s="5" t="s">
        <v>3623</v>
      </c>
    </row>
    <row r="6730" spans="35:37">
      <c r="AI6730" s="468">
        <v>49102</v>
      </c>
      <c r="AJ6730" s="5" t="s">
        <v>3626</v>
      </c>
      <c r="AK6730" s="5" t="s">
        <v>3625</v>
      </c>
    </row>
    <row r="6731" spans="35:37">
      <c r="AI6731" s="468">
        <v>49103</v>
      </c>
      <c r="AJ6731" s="5" t="s">
        <v>3628</v>
      </c>
      <c r="AK6731" s="5" t="s">
        <v>3627</v>
      </c>
    </row>
    <row r="6732" spans="35:37">
      <c r="AI6732" s="468">
        <v>49104</v>
      </c>
      <c r="AJ6732" s="5" t="s">
        <v>3617</v>
      </c>
      <c r="AK6732" s="5" t="s">
        <v>3618</v>
      </c>
    </row>
    <row r="6733" spans="35:37">
      <c r="AI6733" s="468">
        <v>49105</v>
      </c>
      <c r="AJ6733" s="5" t="s">
        <v>3619</v>
      </c>
      <c r="AK6733" s="5" t="s">
        <v>3620</v>
      </c>
    </row>
    <row r="6734" spans="35:37">
      <c r="AI6734" s="468">
        <v>49106</v>
      </c>
      <c r="AJ6734" s="5" t="s">
        <v>3621</v>
      </c>
      <c r="AK6734" s="5" t="s">
        <v>3622</v>
      </c>
    </row>
    <row r="6735" spans="35:37">
      <c r="AI6735" s="468">
        <v>49107</v>
      </c>
      <c r="AJ6735" s="5" t="s">
        <v>3579</v>
      </c>
      <c r="AK6735" s="5" t="s">
        <v>3623</v>
      </c>
    </row>
    <row r="6736" spans="35:37">
      <c r="AI6736" s="468">
        <v>49108</v>
      </c>
      <c r="AJ6736" s="5" t="s">
        <v>3624</v>
      </c>
      <c r="AK6736" s="5" t="s">
        <v>3625</v>
      </c>
    </row>
    <row r="6737" spans="35:37">
      <c r="AI6737" s="468">
        <v>49109</v>
      </c>
      <c r="AJ6737" s="5" t="s">
        <v>3626</v>
      </c>
      <c r="AK6737" s="5" t="s">
        <v>3627</v>
      </c>
    </row>
    <row r="6738" spans="35:37">
      <c r="AI6738" s="468">
        <v>49110</v>
      </c>
      <c r="AJ6738" s="5" t="s">
        <v>3628</v>
      </c>
      <c r="AK6738" s="5" t="s">
        <v>3618</v>
      </c>
    </row>
    <row r="6739" spans="35:37">
      <c r="AI6739" s="468">
        <v>49111</v>
      </c>
      <c r="AJ6739" s="5" t="s">
        <v>3617</v>
      </c>
      <c r="AK6739" s="5" t="s">
        <v>3623</v>
      </c>
    </row>
    <row r="6740" spans="35:37">
      <c r="AI6740" s="468">
        <v>49112</v>
      </c>
      <c r="AJ6740" s="5" t="s">
        <v>3619</v>
      </c>
      <c r="AK6740" s="5" t="s">
        <v>3625</v>
      </c>
    </row>
    <row r="6741" spans="35:37">
      <c r="AI6741" s="468">
        <v>49113</v>
      </c>
      <c r="AJ6741" s="5" t="s">
        <v>3621</v>
      </c>
      <c r="AK6741" s="5" t="s">
        <v>3627</v>
      </c>
    </row>
    <row r="6742" spans="35:37">
      <c r="AI6742" s="468">
        <v>49114</v>
      </c>
      <c r="AJ6742" s="5" t="s">
        <v>3579</v>
      </c>
      <c r="AK6742" s="5" t="s">
        <v>3618</v>
      </c>
    </row>
    <row r="6743" spans="35:37">
      <c r="AI6743" s="468">
        <v>49115</v>
      </c>
      <c r="AJ6743" s="5" t="s">
        <v>3624</v>
      </c>
      <c r="AK6743" s="5" t="s">
        <v>3620</v>
      </c>
    </row>
    <row r="6744" spans="35:37">
      <c r="AI6744" s="468">
        <v>49116</v>
      </c>
      <c r="AJ6744" s="5" t="s">
        <v>3626</v>
      </c>
      <c r="AK6744" s="5" t="s">
        <v>3622</v>
      </c>
    </row>
    <row r="6745" spans="35:37">
      <c r="AI6745" s="468">
        <v>49117</v>
      </c>
      <c r="AJ6745" s="5" t="s">
        <v>3628</v>
      </c>
      <c r="AK6745" s="5" t="s">
        <v>3623</v>
      </c>
    </row>
    <row r="6746" spans="35:37">
      <c r="AI6746" s="468">
        <v>49118</v>
      </c>
      <c r="AJ6746" s="5" t="s">
        <v>3617</v>
      </c>
      <c r="AK6746" s="5" t="s">
        <v>3625</v>
      </c>
    </row>
    <row r="6747" spans="35:37">
      <c r="AI6747" s="468">
        <v>49119</v>
      </c>
      <c r="AJ6747" s="5" t="s">
        <v>3619</v>
      </c>
      <c r="AK6747" s="5" t="s">
        <v>3627</v>
      </c>
    </row>
    <row r="6748" spans="35:37">
      <c r="AI6748" s="468">
        <v>49120</v>
      </c>
      <c r="AJ6748" s="5" t="s">
        <v>3621</v>
      </c>
      <c r="AK6748" s="5" t="s">
        <v>3618</v>
      </c>
    </row>
    <row r="6749" spans="35:37">
      <c r="AI6749" s="468">
        <v>49121</v>
      </c>
      <c r="AJ6749" s="5" t="s">
        <v>3579</v>
      </c>
      <c r="AK6749" s="5" t="s">
        <v>3620</v>
      </c>
    </row>
    <row r="6750" spans="35:37">
      <c r="AI6750" s="468">
        <v>49122</v>
      </c>
      <c r="AJ6750" s="5" t="s">
        <v>3624</v>
      </c>
      <c r="AK6750" s="5" t="s">
        <v>3622</v>
      </c>
    </row>
    <row r="6751" spans="35:37">
      <c r="AI6751" s="468">
        <v>49123</v>
      </c>
      <c r="AJ6751" s="5" t="s">
        <v>3626</v>
      </c>
      <c r="AK6751" s="5" t="s">
        <v>3623</v>
      </c>
    </row>
    <row r="6752" spans="35:37">
      <c r="AI6752" s="468">
        <v>49124</v>
      </c>
      <c r="AJ6752" s="5" t="s">
        <v>3628</v>
      </c>
      <c r="AK6752" s="5" t="s">
        <v>3625</v>
      </c>
    </row>
    <row r="6753" spans="35:37">
      <c r="AI6753" s="468">
        <v>49125</v>
      </c>
      <c r="AJ6753" s="5" t="s">
        <v>3617</v>
      </c>
      <c r="AK6753" s="5" t="s">
        <v>3627</v>
      </c>
    </row>
    <row r="6754" spans="35:37">
      <c r="AI6754" s="468">
        <v>49126</v>
      </c>
      <c r="AJ6754" s="5" t="s">
        <v>3619</v>
      </c>
      <c r="AK6754" s="5" t="s">
        <v>3618</v>
      </c>
    </row>
    <row r="6755" spans="35:37">
      <c r="AI6755" s="468">
        <v>49127</v>
      </c>
      <c r="AJ6755" s="5" t="s">
        <v>3621</v>
      </c>
      <c r="AK6755" s="5" t="s">
        <v>3620</v>
      </c>
    </row>
    <row r="6756" spans="35:37">
      <c r="AI6756" s="468">
        <v>49128</v>
      </c>
      <c r="AJ6756" s="5" t="s">
        <v>3579</v>
      </c>
      <c r="AK6756" s="5" t="s">
        <v>3622</v>
      </c>
    </row>
    <row r="6757" spans="35:37">
      <c r="AI6757" s="468">
        <v>49129</v>
      </c>
      <c r="AJ6757" s="5" t="s">
        <v>3624</v>
      </c>
      <c r="AK6757" s="5" t="s">
        <v>3623</v>
      </c>
    </row>
    <row r="6758" spans="35:37">
      <c r="AI6758" s="468">
        <v>49130</v>
      </c>
      <c r="AJ6758" s="5" t="s">
        <v>3626</v>
      </c>
      <c r="AK6758" s="5" t="s">
        <v>3625</v>
      </c>
    </row>
    <row r="6759" spans="35:37">
      <c r="AI6759" s="468">
        <v>49131</v>
      </c>
      <c r="AJ6759" s="5" t="s">
        <v>3628</v>
      </c>
      <c r="AK6759" s="5" t="s">
        <v>3627</v>
      </c>
    </row>
    <row r="6760" spans="35:37">
      <c r="AI6760" s="468">
        <v>49132</v>
      </c>
      <c r="AJ6760" s="5" t="s">
        <v>3617</v>
      </c>
      <c r="AK6760" s="5" t="s">
        <v>3618</v>
      </c>
    </row>
    <row r="6761" spans="35:37">
      <c r="AI6761" s="468">
        <v>49133</v>
      </c>
      <c r="AJ6761" s="5" t="s">
        <v>3619</v>
      </c>
      <c r="AK6761" s="5" t="s">
        <v>3620</v>
      </c>
    </row>
    <row r="6762" spans="35:37">
      <c r="AI6762" s="468">
        <v>49134</v>
      </c>
      <c r="AJ6762" s="5" t="s">
        <v>3621</v>
      </c>
      <c r="AK6762" s="5" t="s">
        <v>3622</v>
      </c>
    </row>
    <row r="6763" spans="35:37">
      <c r="AI6763" s="468">
        <v>49135</v>
      </c>
      <c r="AJ6763" s="5" t="s">
        <v>3579</v>
      </c>
      <c r="AK6763" s="5" t="s">
        <v>3623</v>
      </c>
    </row>
    <row r="6764" spans="35:37">
      <c r="AI6764" s="468">
        <v>49136</v>
      </c>
      <c r="AJ6764" s="5" t="s">
        <v>3624</v>
      </c>
      <c r="AK6764" s="5" t="s">
        <v>3625</v>
      </c>
    </row>
    <row r="6765" spans="35:37">
      <c r="AI6765" s="468">
        <v>49137</v>
      </c>
      <c r="AJ6765" s="5" t="s">
        <v>3626</v>
      </c>
      <c r="AK6765" s="5" t="s">
        <v>3627</v>
      </c>
    </row>
    <row r="6766" spans="35:37">
      <c r="AI6766" s="468">
        <v>49138</v>
      </c>
      <c r="AJ6766" s="5" t="s">
        <v>3628</v>
      </c>
      <c r="AK6766" s="5" t="s">
        <v>3618</v>
      </c>
    </row>
    <row r="6767" spans="35:37">
      <c r="AI6767" s="468">
        <v>49139</v>
      </c>
      <c r="AJ6767" s="5" t="s">
        <v>3617</v>
      </c>
      <c r="AK6767" s="5" t="s">
        <v>3620</v>
      </c>
    </row>
    <row r="6768" spans="35:37">
      <c r="AI6768" s="468">
        <v>49140</v>
      </c>
      <c r="AJ6768" s="5" t="s">
        <v>3619</v>
      </c>
      <c r="AK6768" s="5" t="s">
        <v>3622</v>
      </c>
    </row>
    <row r="6769" spans="35:37">
      <c r="AI6769" s="468">
        <v>49141</v>
      </c>
      <c r="AJ6769" s="5" t="s">
        <v>3621</v>
      </c>
      <c r="AK6769" s="5" t="s">
        <v>3625</v>
      </c>
    </row>
    <row r="6770" spans="35:37">
      <c r="AI6770" s="468">
        <v>49142</v>
      </c>
      <c r="AJ6770" s="5" t="s">
        <v>3579</v>
      </c>
      <c r="AK6770" s="5" t="s">
        <v>3627</v>
      </c>
    </row>
    <row r="6771" spans="35:37">
      <c r="AI6771" s="468">
        <v>49143</v>
      </c>
      <c r="AJ6771" s="5" t="s">
        <v>3624</v>
      </c>
      <c r="AK6771" s="5" t="s">
        <v>3618</v>
      </c>
    </row>
    <row r="6772" spans="35:37">
      <c r="AI6772" s="468">
        <v>49144</v>
      </c>
      <c r="AJ6772" s="5" t="s">
        <v>3626</v>
      </c>
      <c r="AK6772" s="5" t="s">
        <v>3620</v>
      </c>
    </row>
    <row r="6773" spans="35:37">
      <c r="AI6773" s="468">
        <v>49145</v>
      </c>
      <c r="AJ6773" s="5" t="s">
        <v>3628</v>
      </c>
      <c r="AK6773" s="5" t="s">
        <v>3622</v>
      </c>
    </row>
    <row r="6774" spans="35:37">
      <c r="AI6774" s="468">
        <v>49146</v>
      </c>
      <c r="AJ6774" s="5" t="s">
        <v>3617</v>
      </c>
      <c r="AK6774" s="5" t="s">
        <v>3623</v>
      </c>
    </row>
    <row r="6775" spans="35:37">
      <c r="AI6775" s="468">
        <v>49147</v>
      </c>
      <c r="AJ6775" s="5" t="s">
        <v>3619</v>
      </c>
      <c r="AK6775" s="5" t="s">
        <v>3625</v>
      </c>
    </row>
    <row r="6776" spans="35:37">
      <c r="AI6776" s="468">
        <v>49148</v>
      </c>
      <c r="AJ6776" s="5" t="s">
        <v>3621</v>
      </c>
      <c r="AK6776" s="5" t="s">
        <v>3627</v>
      </c>
    </row>
    <row r="6777" spans="35:37">
      <c r="AI6777" s="468">
        <v>49149</v>
      </c>
      <c r="AJ6777" s="5" t="s">
        <v>3579</v>
      </c>
      <c r="AK6777" s="5" t="s">
        <v>3618</v>
      </c>
    </row>
    <row r="6778" spans="35:37">
      <c r="AI6778" s="468">
        <v>49150</v>
      </c>
      <c r="AJ6778" s="5" t="s">
        <v>3624</v>
      </c>
      <c r="AK6778" s="5" t="s">
        <v>3620</v>
      </c>
    </row>
    <row r="6779" spans="35:37">
      <c r="AI6779" s="468">
        <v>49151</v>
      </c>
      <c r="AJ6779" s="5" t="s">
        <v>3626</v>
      </c>
      <c r="AK6779" s="5" t="s">
        <v>3622</v>
      </c>
    </row>
    <row r="6780" spans="35:37">
      <c r="AI6780" s="468">
        <v>49152</v>
      </c>
      <c r="AJ6780" s="5" t="s">
        <v>3628</v>
      </c>
      <c r="AK6780" s="5" t="s">
        <v>3623</v>
      </c>
    </row>
    <row r="6781" spans="35:37">
      <c r="AI6781" s="468">
        <v>49153</v>
      </c>
      <c r="AJ6781" s="5" t="s">
        <v>3617</v>
      </c>
      <c r="AK6781" s="5" t="s">
        <v>3625</v>
      </c>
    </row>
    <row r="6782" spans="35:37">
      <c r="AI6782" s="468">
        <v>49154</v>
      </c>
      <c r="AJ6782" s="5" t="s">
        <v>3619</v>
      </c>
      <c r="AK6782" s="5" t="s">
        <v>3627</v>
      </c>
    </row>
    <row r="6783" spans="35:37">
      <c r="AI6783" s="468">
        <v>49155</v>
      </c>
      <c r="AJ6783" s="5" t="s">
        <v>3621</v>
      </c>
      <c r="AK6783" s="5" t="s">
        <v>3618</v>
      </c>
    </row>
    <row r="6784" spans="35:37">
      <c r="AI6784" s="468">
        <v>49156</v>
      </c>
      <c r="AJ6784" s="5" t="s">
        <v>3579</v>
      </c>
      <c r="AK6784" s="5" t="s">
        <v>3620</v>
      </c>
    </row>
    <row r="6785" spans="35:37">
      <c r="AI6785" s="468">
        <v>49157</v>
      </c>
      <c r="AJ6785" s="5" t="s">
        <v>3624</v>
      </c>
      <c r="AK6785" s="5" t="s">
        <v>3622</v>
      </c>
    </row>
    <row r="6786" spans="35:37">
      <c r="AI6786" s="468">
        <v>49158</v>
      </c>
      <c r="AJ6786" s="5" t="s">
        <v>3626</v>
      </c>
      <c r="AK6786" s="5" t="s">
        <v>3623</v>
      </c>
    </row>
    <row r="6787" spans="35:37">
      <c r="AI6787" s="468">
        <v>49159</v>
      </c>
      <c r="AJ6787" s="5" t="s">
        <v>3628</v>
      </c>
      <c r="AK6787" s="5" t="s">
        <v>3625</v>
      </c>
    </row>
    <row r="6788" spans="35:37">
      <c r="AI6788" s="468">
        <v>49160</v>
      </c>
      <c r="AJ6788" s="5" t="s">
        <v>3617</v>
      </c>
      <c r="AK6788" s="5" t="s">
        <v>3627</v>
      </c>
    </row>
    <row r="6789" spans="35:37">
      <c r="AI6789" s="468">
        <v>49161</v>
      </c>
      <c r="AJ6789" s="5" t="s">
        <v>3619</v>
      </c>
      <c r="AK6789" s="5" t="s">
        <v>3618</v>
      </c>
    </row>
    <row r="6790" spans="35:37">
      <c r="AI6790" s="468">
        <v>49162</v>
      </c>
      <c r="AJ6790" s="5" t="s">
        <v>3621</v>
      </c>
      <c r="AK6790" s="5" t="s">
        <v>3620</v>
      </c>
    </row>
    <row r="6791" spans="35:37">
      <c r="AI6791" s="468">
        <v>49163</v>
      </c>
      <c r="AJ6791" s="5" t="s">
        <v>3579</v>
      </c>
      <c r="AK6791" s="5" t="s">
        <v>3622</v>
      </c>
    </row>
    <row r="6792" spans="35:37">
      <c r="AI6792" s="468">
        <v>49164</v>
      </c>
      <c r="AJ6792" s="5" t="s">
        <v>3624</v>
      </c>
      <c r="AK6792" s="5" t="s">
        <v>3623</v>
      </c>
    </row>
    <row r="6793" spans="35:37">
      <c r="AI6793" s="468">
        <v>49165</v>
      </c>
      <c r="AJ6793" s="5" t="s">
        <v>3626</v>
      </c>
      <c r="AK6793" s="5" t="s">
        <v>3625</v>
      </c>
    </row>
    <row r="6794" spans="35:37">
      <c r="AI6794" s="468">
        <v>49166</v>
      </c>
      <c r="AJ6794" s="5" t="s">
        <v>3628</v>
      </c>
      <c r="AK6794" s="5" t="s">
        <v>3627</v>
      </c>
    </row>
    <row r="6795" spans="35:37">
      <c r="AI6795" s="468">
        <v>49167</v>
      </c>
      <c r="AJ6795" s="5" t="s">
        <v>3617</v>
      </c>
      <c r="AK6795" s="5" t="s">
        <v>3618</v>
      </c>
    </row>
    <row r="6796" spans="35:37">
      <c r="AI6796" s="468">
        <v>49168</v>
      </c>
      <c r="AJ6796" s="5" t="s">
        <v>3619</v>
      </c>
      <c r="AK6796" s="5" t="s">
        <v>3620</v>
      </c>
    </row>
    <row r="6797" spans="35:37">
      <c r="AI6797" s="468">
        <v>49169</v>
      </c>
      <c r="AJ6797" s="5" t="s">
        <v>3621</v>
      </c>
      <c r="AK6797" s="5" t="s">
        <v>3622</v>
      </c>
    </row>
    <row r="6798" spans="35:37">
      <c r="AI6798" s="468">
        <v>49170</v>
      </c>
      <c r="AJ6798" s="5" t="s">
        <v>3579</v>
      </c>
      <c r="AK6798" s="5" t="s">
        <v>3627</v>
      </c>
    </row>
    <row r="6799" spans="35:37">
      <c r="AI6799" s="468">
        <v>49171</v>
      </c>
      <c r="AJ6799" s="5" t="s">
        <v>3624</v>
      </c>
      <c r="AK6799" s="5" t="s">
        <v>3618</v>
      </c>
    </row>
    <row r="6800" spans="35:37">
      <c r="AI6800" s="468">
        <v>49172</v>
      </c>
      <c r="AJ6800" s="5" t="s">
        <v>3626</v>
      </c>
      <c r="AK6800" s="5" t="s">
        <v>3620</v>
      </c>
    </row>
    <row r="6801" spans="35:37">
      <c r="AI6801" s="468">
        <v>49173</v>
      </c>
      <c r="AJ6801" s="5" t="s">
        <v>3628</v>
      </c>
      <c r="AK6801" s="5" t="s">
        <v>3622</v>
      </c>
    </row>
    <row r="6802" spans="35:37">
      <c r="AI6802" s="468">
        <v>49174</v>
      </c>
      <c r="AJ6802" s="5" t="s">
        <v>3617</v>
      </c>
      <c r="AK6802" s="5" t="s">
        <v>3623</v>
      </c>
    </row>
    <row r="6803" spans="35:37">
      <c r="AI6803" s="468">
        <v>49175</v>
      </c>
      <c r="AJ6803" s="5" t="s">
        <v>3619</v>
      </c>
      <c r="AK6803" s="5" t="s">
        <v>3625</v>
      </c>
    </row>
    <row r="6804" spans="35:37">
      <c r="AI6804" s="468">
        <v>49176</v>
      </c>
      <c r="AJ6804" s="5" t="s">
        <v>3621</v>
      </c>
      <c r="AK6804" s="5" t="s">
        <v>3627</v>
      </c>
    </row>
    <row r="6805" spans="35:37">
      <c r="AI6805" s="468">
        <v>49177</v>
      </c>
      <c r="AJ6805" s="5" t="s">
        <v>3579</v>
      </c>
      <c r="AK6805" s="5" t="s">
        <v>3618</v>
      </c>
    </row>
    <row r="6806" spans="35:37">
      <c r="AI6806" s="468">
        <v>49178</v>
      </c>
      <c r="AJ6806" s="5" t="s">
        <v>3624</v>
      </c>
      <c r="AK6806" s="5" t="s">
        <v>3620</v>
      </c>
    </row>
    <row r="6807" spans="35:37">
      <c r="AI6807" s="468">
        <v>49179</v>
      </c>
      <c r="AJ6807" s="5" t="s">
        <v>3626</v>
      </c>
      <c r="AK6807" s="5" t="s">
        <v>3622</v>
      </c>
    </row>
    <row r="6808" spans="35:37">
      <c r="AI6808" s="468">
        <v>49180</v>
      </c>
      <c r="AJ6808" s="5" t="s">
        <v>3628</v>
      </c>
      <c r="AK6808" s="5" t="s">
        <v>3623</v>
      </c>
    </row>
    <row r="6809" spans="35:37">
      <c r="AI6809" s="468">
        <v>49181</v>
      </c>
      <c r="AJ6809" s="5" t="s">
        <v>3617</v>
      </c>
      <c r="AK6809" s="5" t="s">
        <v>3625</v>
      </c>
    </row>
    <row r="6810" spans="35:37">
      <c r="AI6810" s="468">
        <v>49182</v>
      </c>
      <c r="AJ6810" s="5" t="s">
        <v>3619</v>
      </c>
      <c r="AK6810" s="5" t="s">
        <v>3627</v>
      </c>
    </row>
    <row r="6811" spans="35:37">
      <c r="AI6811" s="468">
        <v>49183</v>
      </c>
      <c r="AJ6811" s="5" t="s">
        <v>3621</v>
      </c>
      <c r="AK6811" s="5" t="s">
        <v>3618</v>
      </c>
    </row>
    <row r="6812" spans="35:37">
      <c r="AI6812" s="468">
        <v>49184</v>
      </c>
      <c r="AJ6812" s="5" t="s">
        <v>3579</v>
      </c>
      <c r="AK6812" s="5" t="s">
        <v>3620</v>
      </c>
    </row>
    <row r="6813" spans="35:37">
      <c r="AI6813" s="468">
        <v>49185</v>
      </c>
      <c r="AJ6813" s="5" t="s">
        <v>3624</v>
      </c>
      <c r="AK6813" s="5" t="s">
        <v>3622</v>
      </c>
    </row>
    <row r="6814" spans="35:37">
      <c r="AI6814" s="468">
        <v>49186</v>
      </c>
      <c r="AJ6814" s="5" t="s">
        <v>3626</v>
      </c>
      <c r="AK6814" s="5" t="s">
        <v>3623</v>
      </c>
    </row>
    <row r="6815" spans="35:37">
      <c r="AI6815" s="468">
        <v>49187</v>
      </c>
      <c r="AJ6815" s="5" t="s">
        <v>3628</v>
      </c>
      <c r="AK6815" s="5" t="s">
        <v>3625</v>
      </c>
    </row>
    <row r="6816" spans="35:37">
      <c r="AI6816" s="468">
        <v>49188</v>
      </c>
      <c r="AJ6816" s="5" t="s">
        <v>3617</v>
      </c>
      <c r="AK6816" s="5" t="s">
        <v>3627</v>
      </c>
    </row>
    <row r="6817" spans="35:37">
      <c r="AI6817" s="468">
        <v>49189</v>
      </c>
      <c r="AJ6817" s="5" t="s">
        <v>3619</v>
      </c>
      <c r="AK6817" s="5" t="s">
        <v>3618</v>
      </c>
    </row>
    <row r="6818" spans="35:37">
      <c r="AI6818" s="468">
        <v>49190</v>
      </c>
      <c r="AJ6818" s="5" t="s">
        <v>3621</v>
      </c>
      <c r="AK6818" s="5" t="s">
        <v>3620</v>
      </c>
    </row>
    <row r="6819" spans="35:37">
      <c r="AI6819" s="468">
        <v>49191</v>
      </c>
      <c r="AJ6819" s="5" t="s">
        <v>3579</v>
      </c>
      <c r="AK6819" s="5" t="s">
        <v>3622</v>
      </c>
    </row>
    <row r="6820" spans="35:37">
      <c r="AI6820" s="468">
        <v>49192</v>
      </c>
      <c r="AJ6820" s="5" t="s">
        <v>3624</v>
      </c>
      <c r="AK6820" s="5" t="s">
        <v>3623</v>
      </c>
    </row>
    <row r="6821" spans="35:37">
      <c r="AI6821" s="468">
        <v>49193</v>
      </c>
      <c r="AJ6821" s="5" t="s">
        <v>3626</v>
      </c>
      <c r="AK6821" s="5" t="s">
        <v>3625</v>
      </c>
    </row>
    <row r="6822" spans="35:37">
      <c r="AI6822" s="468">
        <v>49194</v>
      </c>
      <c r="AJ6822" s="5" t="s">
        <v>3628</v>
      </c>
      <c r="AK6822" s="5" t="s">
        <v>3627</v>
      </c>
    </row>
    <row r="6823" spans="35:37">
      <c r="AI6823" s="468">
        <v>49195</v>
      </c>
      <c r="AJ6823" s="5" t="s">
        <v>3617</v>
      </c>
      <c r="AK6823" s="5" t="s">
        <v>3618</v>
      </c>
    </row>
    <row r="6824" spans="35:37">
      <c r="AI6824" s="468">
        <v>49196</v>
      </c>
      <c r="AJ6824" s="5" t="s">
        <v>3619</v>
      </c>
      <c r="AK6824" s="5" t="s">
        <v>3620</v>
      </c>
    </row>
    <row r="6825" spans="35:37">
      <c r="AI6825" s="468">
        <v>49197</v>
      </c>
      <c r="AJ6825" s="5" t="s">
        <v>3621</v>
      </c>
      <c r="AK6825" s="5" t="s">
        <v>3622</v>
      </c>
    </row>
    <row r="6826" spans="35:37">
      <c r="AI6826" s="468">
        <v>49198</v>
      </c>
      <c r="AJ6826" s="5" t="s">
        <v>3579</v>
      </c>
      <c r="AK6826" s="5" t="s">
        <v>3623</v>
      </c>
    </row>
    <row r="6827" spans="35:37">
      <c r="AI6827" s="468">
        <v>49199</v>
      </c>
      <c r="AJ6827" s="5" t="s">
        <v>3624</v>
      </c>
      <c r="AK6827" s="5" t="s">
        <v>3625</v>
      </c>
    </row>
    <row r="6828" spans="35:37">
      <c r="AI6828" s="468">
        <v>49200</v>
      </c>
      <c r="AJ6828" s="5" t="s">
        <v>3626</v>
      </c>
      <c r="AK6828" s="5" t="s">
        <v>3618</v>
      </c>
    </row>
    <row r="6829" spans="35:37">
      <c r="AI6829" s="468">
        <v>49201</v>
      </c>
      <c r="AJ6829" s="5" t="s">
        <v>3628</v>
      </c>
      <c r="AK6829" s="5" t="s">
        <v>3620</v>
      </c>
    </row>
    <row r="6830" spans="35:37">
      <c r="AI6830" s="468">
        <v>49202</v>
      </c>
      <c r="AJ6830" s="5" t="s">
        <v>3617</v>
      </c>
      <c r="AK6830" s="5" t="s">
        <v>3622</v>
      </c>
    </row>
    <row r="6831" spans="35:37">
      <c r="AI6831" s="468">
        <v>49203</v>
      </c>
      <c r="AJ6831" s="5" t="s">
        <v>3619</v>
      </c>
      <c r="AK6831" s="5" t="s">
        <v>3623</v>
      </c>
    </row>
    <row r="6832" spans="35:37">
      <c r="AI6832" s="468">
        <v>49204</v>
      </c>
      <c r="AJ6832" s="5" t="s">
        <v>3621</v>
      </c>
      <c r="AK6832" s="5" t="s">
        <v>3625</v>
      </c>
    </row>
    <row r="6833" spans="35:37">
      <c r="AI6833" s="468">
        <v>49205</v>
      </c>
      <c r="AJ6833" s="5" t="s">
        <v>3579</v>
      </c>
      <c r="AK6833" s="5" t="s">
        <v>3627</v>
      </c>
    </row>
    <row r="6834" spans="35:37">
      <c r="AI6834" s="468">
        <v>49206</v>
      </c>
      <c r="AJ6834" s="5" t="s">
        <v>3624</v>
      </c>
      <c r="AK6834" s="5" t="s">
        <v>3618</v>
      </c>
    </row>
    <row r="6835" spans="35:37">
      <c r="AI6835" s="468">
        <v>49207</v>
      </c>
      <c r="AJ6835" s="5" t="s">
        <v>3626</v>
      </c>
      <c r="AK6835" s="5" t="s">
        <v>3620</v>
      </c>
    </row>
    <row r="6836" spans="35:37">
      <c r="AI6836" s="468">
        <v>49208</v>
      </c>
      <c r="AJ6836" s="5" t="s">
        <v>3628</v>
      </c>
      <c r="AK6836" s="5" t="s">
        <v>3622</v>
      </c>
    </row>
    <row r="6837" spans="35:37">
      <c r="AI6837" s="468">
        <v>49209</v>
      </c>
      <c r="AJ6837" s="5" t="s">
        <v>3617</v>
      </c>
      <c r="AK6837" s="5" t="s">
        <v>3623</v>
      </c>
    </row>
    <row r="6838" spans="35:37">
      <c r="AI6838" s="468">
        <v>49210</v>
      </c>
      <c r="AJ6838" s="5" t="s">
        <v>3619</v>
      </c>
      <c r="AK6838" s="5" t="s">
        <v>3625</v>
      </c>
    </row>
    <row r="6839" spans="35:37">
      <c r="AI6839" s="468">
        <v>49211</v>
      </c>
      <c r="AJ6839" s="5" t="s">
        <v>3621</v>
      </c>
      <c r="AK6839" s="5" t="s">
        <v>3627</v>
      </c>
    </row>
    <row r="6840" spans="35:37">
      <c r="AI6840" s="468">
        <v>49212</v>
      </c>
      <c r="AJ6840" s="5" t="s">
        <v>3579</v>
      </c>
      <c r="AK6840" s="5" t="s">
        <v>3618</v>
      </c>
    </row>
    <row r="6841" spans="35:37">
      <c r="AI6841" s="468">
        <v>49213</v>
      </c>
      <c r="AJ6841" s="5" t="s">
        <v>3624</v>
      </c>
      <c r="AK6841" s="5" t="s">
        <v>3620</v>
      </c>
    </row>
    <row r="6842" spans="35:37">
      <c r="AI6842" s="468">
        <v>49214</v>
      </c>
      <c r="AJ6842" s="5" t="s">
        <v>3626</v>
      </c>
      <c r="AK6842" s="5" t="s">
        <v>3622</v>
      </c>
    </row>
    <row r="6843" spans="35:37">
      <c r="AI6843" s="468">
        <v>49215</v>
      </c>
      <c r="AJ6843" s="5" t="s">
        <v>3628</v>
      </c>
      <c r="AK6843" s="5" t="s">
        <v>3623</v>
      </c>
    </row>
    <row r="6844" spans="35:37">
      <c r="AI6844" s="468">
        <v>49216</v>
      </c>
      <c r="AJ6844" s="5" t="s">
        <v>3617</v>
      </c>
      <c r="AK6844" s="5" t="s">
        <v>3625</v>
      </c>
    </row>
    <row r="6845" spans="35:37">
      <c r="AI6845" s="468">
        <v>49217</v>
      </c>
      <c r="AJ6845" s="5" t="s">
        <v>3619</v>
      </c>
      <c r="AK6845" s="5" t="s">
        <v>3627</v>
      </c>
    </row>
    <row r="6846" spans="35:37">
      <c r="AI6846" s="468">
        <v>49218</v>
      </c>
      <c r="AJ6846" s="5" t="s">
        <v>3621</v>
      </c>
      <c r="AK6846" s="5" t="s">
        <v>3618</v>
      </c>
    </row>
    <row r="6847" spans="35:37">
      <c r="AI6847" s="468">
        <v>49219</v>
      </c>
      <c r="AJ6847" s="5" t="s">
        <v>3579</v>
      </c>
      <c r="AK6847" s="5" t="s">
        <v>3620</v>
      </c>
    </row>
    <row r="6848" spans="35:37">
      <c r="AI6848" s="468">
        <v>49220</v>
      </c>
      <c r="AJ6848" s="5" t="s">
        <v>3624</v>
      </c>
      <c r="AK6848" s="5" t="s">
        <v>3622</v>
      </c>
    </row>
    <row r="6849" spans="35:37">
      <c r="AI6849" s="468">
        <v>49221</v>
      </c>
      <c r="AJ6849" s="5" t="s">
        <v>3626</v>
      </c>
      <c r="AK6849" s="5" t="s">
        <v>3623</v>
      </c>
    </row>
    <row r="6850" spans="35:37">
      <c r="AI6850" s="468">
        <v>49222</v>
      </c>
      <c r="AJ6850" s="5" t="s">
        <v>3628</v>
      </c>
      <c r="AK6850" s="5" t="s">
        <v>3625</v>
      </c>
    </row>
    <row r="6851" spans="35:37">
      <c r="AI6851" s="468">
        <v>49223</v>
      </c>
      <c r="AJ6851" s="5" t="s">
        <v>3617</v>
      </c>
      <c r="AK6851" s="5" t="s">
        <v>3627</v>
      </c>
    </row>
    <row r="6852" spans="35:37">
      <c r="AI6852" s="468">
        <v>49224</v>
      </c>
      <c r="AJ6852" s="5" t="s">
        <v>3619</v>
      </c>
      <c r="AK6852" s="5" t="s">
        <v>3618</v>
      </c>
    </row>
    <row r="6853" spans="35:37">
      <c r="AI6853" s="468">
        <v>49225</v>
      </c>
      <c r="AJ6853" s="5" t="s">
        <v>3621</v>
      </c>
      <c r="AK6853" s="5" t="s">
        <v>3620</v>
      </c>
    </row>
    <row r="6854" spans="35:37">
      <c r="AI6854" s="468">
        <v>49226</v>
      </c>
      <c r="AJ6854" s="5" t="s">
        <v>3579</v>
      </c>
      <c r="AK6854" s="5" t="s">
        <v>3622</v>
      </c>
    </row>
    <row r="6855" spans="35:37">
      <c r="AI6855" s="468">
        <v>49227</v>
      </c>
      <c r="AJ6855" s="5" t="s">
        <v>3624</v>
      </c>
      <c r="AK6855" s="5" t="s">
        <v>3623</v>
      </c>
    </row>
    <row r="6856" spans="35:37">
      <c r="AI6856" s="468">
        <v>49228</v>
      </c>
      <c r="AJ6856" s="5" t="s">
        <v>3626</v>
      </c>
      <c r="AK6856" s="5" t="s">
        <v>3625</v>
      </c>
    </row>
    <row r="6857" spans="35:37">
      <c r="AI6857" s="468">
        <v>49229</v>
      </c>
      <c r="AJ6857" s="5" t="s">
        <v>3628</v>
      </c>
      <c r="AK6857" s="5" t="s">
        <v>3620</v>
      </c>
    </row>
    <row r="6858" spans="35:37">
      <c r="AI6858" s="468">
        <v>49230</v>
      </c>
      <c r="AJ6858" s="5" t="s">
        <v>3617</v>
      </c>
      <c r="AK6858" s="5" t="s">
        <v>3622</v>
      </c>
    </row>
    <row r="6859" spans="35:37">
      <c r="AI6859" s="468">
        <v>49231</v>
      </c>
      <c r="AJ6859" s="5" t="s">
        <v>3619</v>
      </c>
      <c r="AK6859" s="5" t="s">
        <v>3623</v>
      </c>
    </row>
    <row r="6860" spans="35:37">
      <c r="AI6860" s="468">
        <v>49232</v>
      </c>
      <c r="AJ6860" s="5" t="s">
        <v>3621</v>
      </c>
      <c r="AK6860" s="5" t="s">
        <v>3625</v>
      </c>
    </row>
    <row r="6861" spans="35:37">
      <c r="AI6861" s="468">
        <v>49233</v>
      </c>
      <c r="AJ6861" s="5" t="s">
        <v>3579</v>
      </c>
      <c r="AK6861" s="5" t="s">
        <v>3627</v>
      </c>
    </row>
    <row r="6862" spans="35:37">
      <c r="AI6862" s="468">
        <v>49234</v>
      </c>
      <c r="AJ6862" s="5" t="s">
        <v>3624</v>
      </c>
      <c r="AK6862" s="5" t="s">
        <v>3618</v>
      </c>
    </row>
    <row r="6863" spans="35:37">
      <c r="AI6863" s="468">
        <v>49235</v>
      </c>
      <c r="AJ6863" s="5" t="s">
        <v>3626</v>
      </c>
      <c r="AK6863" s="5" t="s">
        <v>3620</v>
      </c>
    </row>
    <row r="6864" spans="35:37">
      <c r="AI6864" s="468">
        <v>49236</v>
      </c>
      <c r="AJ6864" s="5" t="s">
        <v>3628</v>
      </c>
      <c r="AK6864" s="5" t="s">
        <v>3622</v>
      </c>
    </row>
    <row r="6865" spans="35:37">
      <c r="AI6865" s="468">
        <v>49237</v>
      </c>
      <c r="AJ6865" s="5" t="s">
        <v>3617</v>
      </c>
      <c r="AK6865" s="5" t="s">
        <v>3623</v>
      </c>
    </row>
    <row r="6866" spans="35:37">
      <c r="AI6866" s="468">
        <v>49238</v>
      </c>
      <c r="AJ6866" s="5" t="s">
        <v>3619</v>
      </c>
      <c r="AK6866" s="5" t="s">
        <v>3625</v>
      </c>
    </row>
    <row r="6867" spans="35:37">
      <c r="AI6867" s="468">
        <v>49239</v>
      </c>
      <c r="AJ6867" s="5" t="s">
        <v>3621</v>
      </c>
      <c r="AK6867" s="5" t="s">
        <v>3627</v>
      </c>
    </row>
    <row r="6868" spans="35:37">
      <c r="AI6868" s="468">
        <v>49240</v>
      </c>
      <c r="AJ6868" s="5" t="s">
        <v>3579</v>
      </c>
      <c r="AK6868" s="5" t="s">
        <v>3618</v>
      </c>
    </row>
    <row r="6869" spans="35:37">
      <c r="AI6869" s="468">
        <v>49241</v>
      </c>
      <c r="AJ6869" s="5" t="s">
        <v>3624</v>
      </c>
      <c r="AK6869" s="5" t="s">
        <v>3620</v>
      </c>
    </row>
    <row r="6870" spans="35:37">
      <c r="AI6870" s="468">
        <v>49242</v>
      </c>
      <c r="AJ6870" s="5" t="s">
        <v>3626</v>
      </c>
      <c r="AK6870" s="5" t="s">
        <v>3622</v>
      </c>
    </row>
    <row r="6871" spans="35:37">
      <c r="AI6871" s="468">
        <v>49243</v>
      </c>
      <c r="AJ6871" s="5" t="s">
        <v>3628</v>
      </c>
      <c r="AK6871" s="5" t="s">
        <v>3623</v>
      </c>
    </row>
    <row r="6872" spans="35:37">
      <c r="AI6872" s="468">
        <v>49244</v>
      </c>
      <c r="AJ6872" s="5" t="s">
        <v>3617</v>
      </c>
      <c r="AK6872" s="5" t="s">
        <v>3625</v>
      </c>
    </row>
    <row r="6873" spans="35:37">
      <c r="AI6873" s="468">
        <v>49245</v>
      </c>
      <c r="AJ6873" s="5" t="s">
        <v>3619</v>
      </c>
      <c r="AK6873" s="5" t="s">
        <v>3627</v>
      </c>
    </row>
    <row r="6874" spans="35:37">
      <c r="AI6874" s="468">
        <v>49246</v>
      </c>
      <c r="AJ6874" s="5" t="s">
        <v>3621</v>
      </c>
      <c r="AK6874" s="5" t="s">
        <v>3618</v>
      </c>
    </row>
    <row r="6875" spans="35:37">
      <c r="AI6875" s="468">
        <v>49247</v>
      </c>
      <c r="AJ6875" s="5" t="s">
        <v>3579</v>
      </c>
      <c r="AK6875" s="5" t="s">
        <v>3620</v>
      </c>
    </row>
    <row r="6876" spans="35:37">
      <c r="AI6876" s="468">
        <v>49248</v>
      </c>
      <c r="AJ6876" s="5" t="s">
        <v>3624</v>
      </c>
      <c r="AK6876" s="5" t="s">
        <v>3622</v>
      </c>
    </row>
    <row r="6877" spans="35:37">
      <c r="AI6877" s="468">
        <v>49249</v>
      </c>
      <c r="AJ6877" s="5" t="s">
        <v>3626</v>
      </c>
      <c r="AK6877" s="5" t="s">
        <v>3623</v>
      </c>
    </row>
    <row r="6878" spans="35:37">
      <c r="AI6878" s="468">
        <v>49250</v>
      </c>
      <c r="AJ6878" s="5" t="s">
        <v>3628</v>
      </c>
      <c r="AK6878" s="5" t="s">
        <v>3625</v>
      </c>
    </row>
    <row r="6879" spans="35:37">
      <c r="AI6879" s="468">
        <v>49251</v>
      </c>
      <c r="AJ6879" s="5" t="s">
        <v>3617</v>
      </c>
      <c r="AK6879" s="5" t="s">
        <v>3627</v>
      </c>
    </row>
    <row r="6880" spans="35:37">
      <c r="AI6880" s="468">
        <v>49252</v>
      </c>
      <c r="AJ6880" s="5" t="s">
        <v>3619</v>
      </c>
      <c r="AK6880" s="5" t="s">
        <v>3618</v>
      </c>
    </row>
    <row r="6881" spans="35:37">
      <c r="AI6881" s="468">
        <v>49253</v>
      </c>
      <c r="AJ6881" s="5" t="s">
        <v>3621</v>
      </c>
      <c r="AK6881" s="5" t="s">
        <v>3620</v>
      </c>
    </row>
    <row r="6882" spans="35:37">
      <c r="AI6882" s="468">
        <v>49254</v>
      </c>
      <c r="AJ6882" s="5" t="s">
        <v>3579</v>
      </c>
      <c r="AK6882" s="5" t="s">
        <v>3622</v>
      </c>
    </row>
    <row r="6883" spans="35:37">
      <c r="AI6883" s="468">
        <v>49255</v>
      </c>
      <c r="AJ6883" s="5" t="s">
        <v>3624</v>
      </c>
      <c r="AK6883" s="5" t="s">
        <v>3623</v>
      </c>
    </row>
    <row r="6884" spans="35:37">
      <c r="AI6884" s="468">
        <v>49256</v>
      </c>
      <c r="AJ6884" s="5" t="s">
        <v>3626</v>
      </c>
      <c r="AK6884" s="5" t="s">
        <v>3625</v>
      </c>
    </row>
    <row r="6885" spans="35:37">
      <c r="AI6885" s="468">
        <v>49257</v>
      </c>
      <c r="AJ6885" s="5" t="s">
        <v>3628</v>
      </c>
      <c r="AK6885" s="5" t="s">
        <v>3627</v>
      </c>
    </row>
    <row r="6886" spans="35:37">
      <c r="AI6886" s="468">
        <v>49258</v>
      </c>
      <c r="AJ6886" s="5" t="s">
        <v>3617</v>
      </c>
      <c r="AK6886" s="5" t="s">
        <v>3618</v>
      </c>
    </row>
    <row r="6887" spans="35:37">
      <c r="AI6887" s="468">
        <v>49259</v>
      </c>
      <c r="AJ6887" s="5" t="s">
        <v>3619</v>
      </c>
      <c r="AK6887" s="5" t="s">
        <v>3622</v>
      </c>
    </row>
    <row r="6888" spans="35:37">
      <c r="AI6888" s="468">
        <v>49260</v>
      </c>
      <c r="AJ6888" s="5" t="s">
        <v>3621</v>
      </c>
      <c r="AK6888" s="5" t="s">
        <v>3623</v>
      </c>
    </row>
    <row r="6889" spans="35:37">
      <c r="AI6889" s="468">
        <v>49261</v>
      </c>
      <c r="AJ6889" s="5" t="s">
        <v>3579</v>
      </c>
      <c r="AK6889" s="5" t="s">
        <v>3625</v>
      </c>
    </row>
    <row r="6890" spans="35:37">
      <c r="AI6890" s="468">
        <v>49262</v>
      </c>
      <c r="AJ6890" s="5" t="s">
        <v>3624</v>
      </c>
      <c r="AK6890" s="5" t="s">
        <v>3627</v>
      </c>
    </row>
    <row r="6891" spans="35:37">
      <c r="AI6891" s="468">
        <v>49263</v>
      </c>
      <c r="AJ6891" s="5" t="s">
        <v>3626</v>
      </c>
      <c r="AK6891" s="5" t="s">
        <v>3618</v>
      </c>
    </row>
    <row r="6892" spans="35:37">
      <c r="AI6892" s="468">
        <v>49264</v>
      </c>
      <c r="AJ6892" s="5" t="s">
        <v>3628</v>
      </c>
      <c r="AK6892" s="5" t="s">
        <v>3620</v>
      </c>
    </row>
    <row r="6893" spans="35:37">
      <c r="AI6893" s="468">
        <v>49265</v>
      </c>
      <c r="AJ6893" s="5" t="s">
        <v>3617</v>
      </c>
      <c r="AK6893" s="5" t="s">
        <v>3622</v>
      </c>
    </row>
    <row r="6894" spans="35:37">
      <c r="AI6894" s="468">
        <v>49266</v>
      </c>
      <c r="AJ6894" s="5" t="s">
        <v>3619</v>
      </c>
      <c r="AK6894" s="5" t="s">
        <v>3623</v>
      </c>
    </row>
    <row r="6895" spans="35:37">
      <c r="AI6895" s="468">
        <v>49267</v>
      </c>
      <c r="AJ6895" s="5" t="s">
        <v>3621</v>
      </c>
      <c r="AK6895" s="5" t="s">
        <v>3625</v>
      </c>
    </row>
    <row r="6896" spans="35:37">
      <c r="AI6896" s="468">
        <v>49268</v>
      </c>
      <c r="AJ6896" s="5" t="s">
        <v>3579</v>
      </c>
      <c r="AK6896" s="5" t="s">
        <v>3627</v>
      </c>
    </row>
    <row r="6897" spans="35:37">
      <c r="AI6897" s="468">
        <v>49269</v>
      </c>
      <c r="AJ6897" s="5" t="s">
        <v>3624</v>
      </c>
      <c r="AK6897" s="5" t="s">
        <v>3618</v>
      </c>
    </row>
    <row r="6898" spans="35:37">
      <c r="AI6898" s="468">
        <v>49270</v>
      </c>
      <c r="AJ6898" s="5" t="s">
        <v>3626</v>
      </c>
      <c r="AK6898" s="5" t="s">
        <v>3620</v>
      </c>
    </row>
    <row r="6899" spans="35:37">
      <c r="AI6899" s="468">
        <v>49271</v>
      </c>
      <c r="AJ6899" s="5" t="s">
        <v>3628</v>
      </c>
      <c r="AK6899" s="5" t="s">
        <v>3622</v>
      </c>
    </row>
    <row r="6900" spans="35:37">
      <c r="AI6900" s="468">
        <v>49272</v>
      </c>
      <c r="AJ6900" s="5" t="s">
        <v>3617</v>
      </c>
      <c r="AK6900" s="5" t="s">
        <v>3623</v>
      </c>
    </row>
    <row r="6901" spans="35:37">
      <c r="AI6901" s="468">
        <v>49273</v>
      </c>
      <c r="AJ6901" s="5" t="s">
        <v>3619</v>
      </c>
      <c r="AK6901" s="5" t="s">
        <v>3625</v>
      </c>
    </row>
    <row r="6902" spans="35:37">
      <c r="AI6902" s="468">
        <v>49274</v>
      </c>
      <c r="AJ6902" s="5" t="s">
        <v>3621</v>
      </c>
      <c r="AK6902" s="5" t="s">
        <v>3627</v>
      </c>
    </row>
    <row r="6903" spans="35:37">
      <c r="AI6903" s="468">
        <v>49275</v>
      </c>
      <c r="AJ6903" s="5" t="s">
        <v>3579</v>
      </c>
      <c r="AK6903" s="5" t="s">
        <v>3618</v>
      </c>
    </row>
    <row r="6904" spans="35:37">
      <c r="AI6904" s="468">
        <v>49276</v>
      </c>
      <c r="AJ6904" s="5" t="s">
        <v>3624</v>
      </c>
      <c r="AK6904" s="5" t="s">
        <v>3620</v>
      </c>
    </row>
    <row r="6905" spans="35:37">
      <c r="AI6905" s="468">
        <v>49277</v>
      </c>
      <c r="AJ6905" s="5" t="s">
        <v>3626</v>
      </c>
      <c r="AK6905" s="5" t="s">
        <v>3622</v>
      </c>
    </row>
    <row r="6906" spans="35:37">
      <c r="AI6906" s="468">
        <v>49278</v>
      </c>
      <c r="AJ6906" s="5" t="s">
        <v>3628</v>
      </c>
      <c r="AK6906" s="5" t="s">
        <v>3623</v>
      </c>
    </row>
    <row r="6907" spans="35:37">
      <c r="AI6907" s="468">
        <v>49279</v>
      </c>
      <c r="AJ6907" s="5" t="s">
        <v>3617</v>
      </c>
      <c r="AK6907" s="5" t="s">
        <v>3625</v>
      </c>
    </row>
    <row r="6908" spans="35:37">
      <c r="AI6908" s="468">
        <v>49280</v>
      </c>
      <c r="AJ6908" s="5" t="s">
        <v>3619</v>
      </c>
      <c r="AK6908" s="5" t="s">
        <v>3627</v>
      </c>
    </row>
    <row r="6909" spans="35:37">
      <c r="AI6909" s="468">
        <v>49281</v>
      </c>
      <c r="AJ6909" s="5" t="s">
        <v>3621</v>
      </c>
      <c r="AK6909" s="5" t="s">
        <v>3618</v>
      </c>
    </row>
    <row r="6910" spans="35:37">
      <c r="AI6910" s="468">
        <v>49282</v>
      </c>
      <c r="AJ6910" s="5" t="s">
        <v>3579</v>
      </c>
      <c r="AK6910" s="5" t="s">
        <v>3620</v>
      </c>
    </row>
    <row r="6911" spans="35:37">
      <c r="AI6911" s="468">
        <v>49283</v>
      </c>
      <c r="AJ6911" s="5" t="s">
        <v>3624</v>
      </c>
      <c r="AK6911" s="5" t="s">
        <v>3622</v>
      </c>
    </row>
    <row r="6912" spans="35:37">
      <c r="AI6912" s="468">
        <v>49284</v>
      </c>
      <c r="AJ6912" s="5" t="s">
        <v>3626</v>
      </c>
      <c r="AK6912" s="5" t="s">
        <v>3623</v>
      </c>
    </row>
    <row r="6913" spans="35:37">
      <c r="AI6913" s="468">
        <v>49285</v>
      </c>
      <c r="AJ6913" s="5" t="s">
        <v>3628</v>
      </c>
      <c r="AK6913" s="5" t="s">
        <v>3625</v>
      </c>
    </row>
    <row r="6914" spans="35:37">
      <c r="AI6914" s="468">
        <v>49286</v>
      </c>
      <c r="AJ6914" s="5" t="s">
        <v>3617</v>
      </c>
      <c r="AK6914" s="5" t="s">
        <v>3627</v>
      </c>
    </row>
    <row r="6915" spans="35:37">
      <c r="AI6915" s="468">
        <v>49287</v>
      </c>
      <c r="AJ6915" s="5" t="s">
        <v>3619</v>
      </c>
      <c r="AK6915" s="5" t="s">
        <v>3618</v>
      </c>
    </row>
    <row r="6916" spans="35:37">
      <c r="AI6916" s="468">
        <v>49288</v>
      </c>
      <c r="AJ6916" s="5" t="s">
        <v>3621</v>
      </c>
      <c r="AK6916" s="5" t="s">
        <v>3620</v>
      </c>
    </row>
    <row r="6917" spans="35:37">
      <c r="AI6917" s="468">
        <v>49289</v>
      </c>
      <c r="AJ6917" s="5" t="s">
        <v>3579</v>
      </c>
      <c r="AK6917" s="5" t="s">
        <v>3623</v>
      </c>
    </row>
    <row r="6918" spans="35:37">
      <c r="AI6918" s="468">
        <v>49290</v>
      </c>
      <c r="AJ6918" s="5" t="s">
        <v>3624</v>
      </c>
      <c r="AK6918" s="5" t="s">
        <v>3625</v>
      </c>
    </row>
    <row r="6919" spans="35:37">
      <c r="AI6919" s="468">
        <v>49291</v>
      </c>
      <c r="AJ6919" s="5" t="s">
        <v>3626</v>
      </c>
      <c r="AK6919" s="5" t="s">
        <v>3627</v>
      </c>
    </row>
    <row r="6920" spans="35:37">
      <c r="AI6920" s="468">
        <v>49292</v>
      </c>
      <c r="AJ6920" s="5" t="s">
        <v>3628</v>
      </c>
      <c r="AK6920" s="5" t="s">
        <v>3618</v>
      </c>
    </row>
    <row r="6921" spans="35:37">
      <c r="AI6921" s="468">
        <v>49293</v>
      </c>
      <c r="AJ6921" s="5" t="s">
        <v>3617</v>
      </c>
      <c r="AK6921" s="5" t="s">
        <v>3620</v>
      </c>
    </row>
    <row r="6922" spans="35:37">
      <c r="AI6922" s="468">
        <v>49294</v>
      </c>
      <c r="AJ6922" s="5" t="s">
        <v>3619</v>
      </c>
      <c r="AK6922" s="5" t="s">
        <v>3622</v>
      </c>
    </row>
    <row r="6923" spans="35:37">
      <c r="AI6923" s="468">
        <v>49295</v>
      </c>
      <c r="AJ6923" s="5" t="s">
        <v>3621</v>
      </c>
      <c r="AK6923" s="5" t="s">
        <v>3623</v>
      </c>
    </row>
    <row r="6924" spans="35:37">
      <c r="AI6924" s="468">
        <v>49296</v>
      </c>
      <c r="AJ6924" s="5" t="s">
        <v>3579</v>
      </c>
      <c r="AK6924" s="5" t="s">
        <v>3625</v>
      </c>
    </row>
    <row r="6925" spans="35:37">
      <c r="AI6925" s="468">
        <v>49297</v>
      </c>
      <c r="AJ6925" s="5" t="s">
        <v>3624</v>
      </c>
      <c r="AK6925" s="5" t="s">
        <v>3627</v>
      </c>
    </row>
    <row r="6926" spans="35:37">
      <c r="AI6926" s="468">
        <v>49298</v>
      </c>
      <c r="AJ6926" s="5" t="s">
        <v>3626</v>
      </c>
      <c r="AK6926" s="5" t="s">
        <v>3618</v>
      </c>
    </row>
    <row r="6927" spans="35:37">
      <c r="AI6927" s="468">
        <v>49299</v>
      </c>
      <c r="AJ6927" s="5" t="s">
        <v>3628</v>
      </c>
      <c r="AK6927" s="5" t="s">
        <v>3620</v>
      </c>
    </row>
    <row r="6928" spans="35:37">
      <c r="AI6928" s="468">
        <v>49300</v>
      </c>
      <c r="AJ6928" s="5" t="s">
        <v>3617</v>
      </c>
      <c r="AK6928" s="5" t="s">
        <v>3622</v>
      </c>
    </row>
    <row r="6929" spans="35:37">
      <c r="AI6929" s="468">
        <v>49301</v>
      </c>
      <c r="AJ6929" s="5" t="s">
        <v>3619</v>
      </c>
      <c r="AK6929" s="5" t="s">
        <v>3623</v>
      </c>
    </row>
    <row r="6930" spans="35:37">
      <c r="AI6930" s="468">
        <v>49302</v>
      </c>
      <c r="AJ6930" s="5" t="s">
        <v>3621</v>
      </c>
      <c r="AK6930" s="5" t="s">
        <v>3625</v>
      </c>
    </row>
    <row r="6931" spans="35:37">
      <c r="AI6931" s="468">
        <v>49303</v>
      </c>
      <c r="AJ6931" s="5" t="s">
        <v>3579</v>
      </c>
      <c r="AK6931" s="5" t="s">
        <v>3627</v>
      </c>
    </row>
    <row r="6932" spans="35:37">
      <c r="AI6932" s="468">
        <v>49304</v>
      </c>
      <c r="AJ6932" s="5" t="s">
        <v>3624</v>
      </c>
      <c r="AK6932" s="5" t="s">
        <v>3618</v>
      </c>
    </row>
    <row r="6933" spans="35:37">
      <c r="AI6933" s="468">
        <v>49305</v>
      </c>
      <c r="AJ6933" s="5" t="s">
        <v>3626</v>
      </c>
      <c r="AK6933" s="5" t="s">
        <v>3620</v>
      </c>
    </row>
    <row r="6934" spans="35:37">
      <c r="AI6934" s="468">
        <v>49306</v>
      </c>
      <c r="AJ6934" s="5" t="s">
        <v>3628</v>
      </c>
      <c r="AK6934" s="5" t="s">
        <v>3622</v>
      </c>
    </row>
    <row r="6935" spans="35:37">
      <c r="AI6935" s="468">
        <v>49307</v>
      </c>
      <c r="AJ6935" s="5" t="s">
        <v>3617</v>
      </c>
      <c r="AK6935" s="5" t="s">
        <v>3623</v>
      </c>
    </row>
    <row r="6936" spans="35:37">
      <c r="AI6936" s="468">
        <v>49308</v>
      </c>
      <c r="AJ6936" s="5" t="s">
        <v>3619</v>
      </c>
      <c r="AK6936" s="5" t="s">
        <v>3625</v>
      </c>
    </row>
    <row r="6937" spans="35:37">
      <c r="AI6937" s="468">
        <v>49309</v>
      </c>
      <c r="AJ6937" s="5" t="s">
        <v>3621</v>
      </c>
      <c r="AK6937" s="5" t="s">
        <v>3627</v>
      </c>
    </row>
    <row r="6938" spans="35:37">
      <c r="AI6938" s="468">
        <v>49310</v>
      </c>
      <c r="AJ6938" s="5" t="s">
        <v>3579</v>
      </c>
      <c r="AK6938" s="5" t="s">
        <v>3618</v>
      </c>
    </row>
    <row r="6939" spans="35:37">
      <c r="AI6939" s="468">
        <v>49311</v>
      </c>
      <c r="AJ6939" s="5" t="s">
        <v>3624</v>
      </c>
      <c r="AK6939" s="5" t="s">
        <v>3620</v>
      </c>
    </row>
    <row r="6940" spans="35:37">
      <c r="AI6940" s="468">
        <v>49312</v>
      </c>
      <c r="AJ6940" s="5" t="s">
        <v>3626</v>
      </c>
      <c r="AK6940" s="5" t="s">
        <v>3622</v>
      </c>
    </row>
    <row r="6941" spans="35:37">
      <c r="AI6941" s="468">
        <v>49313</v>
      </c>
      <c r="AJ6941" s="5" t="s">
        <v>3628</v>
      </c>
      <c r="AK6941" s="5" t="s">
        <v>3623</v>
      </c>
    </row>
    <row r="6942" spans="35:37">
      <c r="AI6942" s="468">
        <v>49314</v>
      </c>
      <c r="AJ6942" s="5" t="s">
        <v>3617</v>
      </c>
      <c r="AK6942" s="5" t="s">
        <v>3625</v>
      </c>
    </row>
    <row r="6943" spans="35:37">
      <c r="AI6943" s="468">
        <v>49315</v>
      </c>
      <c r="AJ6943" s="5" t="s">
        <v>3619</v>
      </c>
      <c r="AK6943" s="5" t="s">
        <v>3627</v>
      </c>
    </row>
    <row r="6944" spans="35:37">
      <c r="AI6944" s="468">
        <v>49316</v>
      </c>
      <c r="AJ6944" s="5" t="s">
        <v>3621</v>
      </c>
      <c r="AK6944" s="5" t="s">
        <v>3618</v>
      </c>
    </row>
    <row r="6945" spans="35:37">
      <c r="AI6945" s="468">
        <v>49317</v>
      </c>
      <c r="AJ6945" s="5" t="s">
        <v>3579</v>
      </c>
      <c r="AK6945" s="5" t="s">
        <v>3620</v>
      </c>
    </row>
    <row r="6946" spans="35:37">
      <c r="AI6946" s="468">
        <v>49318</v>
      </c>
      <c r="AJ6946" s="5" t="s">
        <v>3624</v>
      </c>
      <c r="AK6946" s="5" t="s">
        <v>3622</v>
      </c>
    </row>
    <row r="6947" spans="35:37">
      <c r="AI6947" s="468">
        <v>49319</v>
      </c>
      <c r="AJ6947" s="5" t="s">
        <v>3626</v>
      </c>
      <c r="AK6947" s="5" t="s">
        <v>3625</v>
      </c>
    </row>
    <row r="6948" spans="35:37">
      <c r="AI6948" s="468">
        <v>49320</v>
      </c>
      <c r="AJ6948" s="5" t="s">
        <v>3628</v>
      </c>
      <c r="AK6948" s="5" t="s">
        <v>3627</v>
      </c>
    </row>
    <row r="6949" spans="35:37">
      <c r="AI6949" s="468">
        <v>49321</v>
      </c>
      <c r="AJ6949" s="5" t="s">
        <v>3617</v>
      </c>
      <c r="AK6949" s="5" t="s">
        <v>3618</v>
      </c>
    </row>
    <row r="6950" spans="35:37">
      <c r="AI6950" s="468">
        <v>49322</v>
      </c>
      <c r="AJ6950" s="5" t="s">
        <v>3619</v>
      </c>
      <c r="AK6950" s="5" t="s">
        <v>3620</v>
      </c>
    </row>
    <row r="6951" spans="35:37">
      <c r="AI6951" s="468">
        <v>49323</v>
      </c>
      <c r="AJ6951" s="5" t="s">
        <v>3621</v>
      </c>
      <c r="AK6951" s="5" t="s">
        <v>3622</v>
      </c>
    </row>
    <row r="6952" spans="35:37">
      <c r="AI6952" s="468">
        <v>49324</v>
      </c>
      <c r="AJ6952" s="5" t="s">
        <v>3579</v>
      </c>
      <c r="AK6952" s="5" t="s">
        <v>3623</v>
      </c>
    </row>
    <row r="6953" spans="35:37">
      <c r="AI6953" s="468">
        <v>49325</v>
      </c>
      <c r="AJ6953" s="5" t="s">
        <v>3624</v>
      </c>
      <c r="AK6953" s="5" t="s">
        <v>3625</v>
      </c>
    </row>
    <row r="6954" spans="35:37">
      <c r="AI6954" s="468">
        <v>49326</v>
      </c>
      <c r="AJ6954" s="5" t="s">
        <v>3626</v>
      </c>
      <c r="AK6954" s="5" t="s">
        <v>3627</v>
      </c>
    </row>
    <row r="6955" spans="35:37">
      <c r="AI6955" s="468">
        <v>49327</v>
      </c>
      <c r="AJ6955" s="5" t="s">
        <v>3628</v>
      </c>
      <c r="AK6955" s="5" t="s">
        <v>3618</v>
      </c>
    </row>
    <row r="6956" spans="35:37">
      <c r="AI6956" s="468">
        <v>49328</v>
      </c>
      <c r="AJ6956" s="5" t="s">
        <v>3617</v>
      </c>
      <c r="AK6956" s="5" t="s">
        <v>3620</v>
      </c>
    </row>
    <row r="6957" spans="35:37">
      <c r="AI6957" s="468">
        <v>49329</v>
      </c>
      <c r="AJ6957" s="5" t="s">
        <v>3619</v>
      </c>
      <c r="AK6957" s="5" t="s">
        <v>3622</v>
      </c>
    </row>
    <row r="6958" spans="35:37">
      <c r="AI6958" s="468">
        <v>49330</v>
      </c>
      <c r="AJ6958" s="5" t="s">
        <v>3621</v>
      </c>
      <c r="AK6958" s="5" t="s">
        <v>3623</v>
      </c>
    </row>
    <row r="6959" spans="35:37">
      <c r="AI6959" s="468">
        <v>49331</v>
      </c>
      <c r="AJ6959" s="5" t="s">
        <v>3579</v>
      </c>
      <c r="AK6959" s="5" t="s">
        <v>3625</v>
      </c>
    </row>
    <row r="6960" spans="35:37">
      <c r="AI6960" s="468">
        <v>49332</v>
      </c>
      <c r="AJ6960" s="5" t="s">
        <v>3624</v>
      </c>
      <c r="AK6960" s="5" t="s">
        <v>3627</v>
      </c>
    </row>
    <row r="6961" spans="35:37">
      <c r="AI6961" s="468">
        <v>49333</v>
      </c>
      <c r="AJ6961" s="5" t="s">
        <v>3626</v>
      </c>
      <c r="AK6961" s="5" t="s">
        <v>3618</v>
      </c>
    </row>
    <row r="6962" spans="35:37">
      <c r="AI6962" s="468">
        <v>49334</v>
      </c>
      <c r="AJ6962" s="5" t="s">
        <v>3628</v>
      </c>
      <c r="AK6962" s="5" t="s">
        <v>3620</v>
      </c>
    </row>
    <row r="6963" spans="35:37">
      <c r="AI6963" s="468">
        <v>49335</v>
      </c>
      <c r="AJ6963" s="5" t="s">
        <v>3617</v>
      </c>
      <c r="AK6963" s="5" t="s">
        <v>3622</v>
      </c>
    </row>
    <row r="6964" spans="35:37">
      <c r="AI6964" s="468">
        <v>49336</v>
      </c>
      <c r="AJ6964" s="5" t="s">
        <v>3619</v>
      </c>
      <c r="AK6964" s="5" t="s">
        <v>3623</v>
      </c>
    </row>
    <row r="6965" spans="35:37">
      <c r="AI6965" s="468">
        <v>49337</v>
      </c>
      <c r="AJ6965" s="5" t="s">
        <v>3621</v>
      </c>
      <c r="AK6965" s="5" t="s">
        <v>3625</v>
      </c>
    </row>
    <row r="6966" spans="35:37">
      <c r="AI6966" s="468">
        <v>49338</v>
      </c>
      <c r="AJ6966" s="5" t="s">
        <v>3579</v>
      </c>
      <c r="AK6966" s="5" t="s">
        <v>3627</v>
      </c>
    </row>
    <row r="6967" spans="35:37">
      <c r="AI6967" s="468">
        <v>49339</v>
      </c>
      <c r="AJ6967" s="5" t="s">
        <v>3624</v>
      </c>
      <c r="AK6967" s="5" t="s">
        <v>3618</v>
      </c>
    </row>
    <row r="6968" spans="35:37">
      <c r="AI6968" s="468">
        <v>49340</v>
      </c>
      <c r="AJ6968" s="5" t="s">
        <v>3626</v>
      </c>
      <c r="AK6968" s="5" t="s">
        <v>3620</v>
      </c>
    </row>
    <row r="6969" spans="35:37">
      <c r="AI6969" s="468">
        <v>49341</v>
      </c>
      <c r="AJ6969" s="5" t="s">
        <v>3628</v>
      </c>
      <c r="AK6969" s="5" t="s">
        <v>3622</v>
      </c>
    </row>
    <row r="6970" spans="35:37">
      <c r="AI6970" s="468">
        <v>49342</v>
      </c>
      <c r="AJ6970" s="5" t="s">
        <v>3617</v>
      </c>
      <c r="AK6970" s="5" t="s">
        <v>3623</v>
      </c>
    </row>
    <row r="6971" spans="35:37">
      <c r="AI6971" s="468">
        <v>49343</v>
      </c>
      <c r="AJ6971" s="5" t="s">
        <v>3619</v>
      </c>
      <c r="AK6971" s="5" t="s">
        <v>3625</v>
      </c>
    </row>
    <row r="6972" spans="35:37">
      <c r="AI6972" s="468">
        <v>49344</v>
      </c>
      <c r="AJ6972" s="5" t="s">
        <v>3621</v>
      </c>
      <c r="AK6972" s="5" t="s">
        <v>3627</v>
      </c>
    </row>
    <row r="6973" spans="35:37">
      <c r="AI6973" s="468">
        <v>49345</v>
      </c>
      <c r="AJ6973" s="5" t="s">
        <v>3579</v>
      </c>
      <c r="AK6973" s="5" t="s">
        <v>3618</v>
      </c>
    </row>
    <row r="6974" spans="35:37">
      <c r="AI6974" s="468">
        <v>49346</v>
      </c>
      <c r="AJ6974" s="5" t="s">
        <v>3624</v>
      </c>
      <c r="AK6974" s="5" t="s">
        <v>3620</v>
      </c>
    </row>
    <row r="6975" spans="35:37">
      <c r="AI6975" s="468">
        <v>49347</v>
      </c>
      <c r="AJ6975" s="5" t="s">
        <v>3626</v>
      </c>
      <c r="AK6975" s="5" t="s">
        <v>3622</v>
      </c>
    </row>
    <row r="6976" spans="35:37">
      <c r="AI6976" s="468">
        <v>49348</v>
      </c>
      <c r="AJ6976" s="5" t="s">
        <v>3628</v>
      </c>
      <c r="AK6976" s="5" t="s">
        <v>3627</v>
      </c>
    </row>
    <row r="6977" spans="35:37">
      <c r="AI6977" s="468">
        <v>49349</v>
      </c>
      <c r="AJ6977" s="5" t="s">
        <v>3617</v>
      </c>
      <c r="AK6977" s="5" t="s">
        <v>3618</v>
      </c>
    </row>
    <row r="6978" spans="35:37">
      <c r="AI6978" s="468">
        <v>49350</v>
      </c>
      <c r="AJ6978" s="5" t="s">
        <v>3619</v>
      </c>
      <c r="AK6978" s="5" t="s">
        <v>3620</v>
      </c>
    </row>
    <row r="6979" spans="35:37">
      <c r="AI6979" s="468">
        <v>49351</v>
      </c>
      <c r="AJ6979" s="5" t="s">
        <v>3621</v>
      </c>
      <c r="AK6979" s="5" t="s">
        <v>3622</v>
      </c>
    </row>
    <row r="6980" spans="35:37">
      <c r="AI6980" s="468">
        <v>49352</v>
      </c>
      <c r="AJ6980" s="5" t="s">
        <v>3579</v>
      </c>
      <c r="AK6980" s="5" t="s">
        <v>3623</v>
      </c>
    </row>
    <row r="6981" spans="35:37">
      <c r="AI6981" s="468">
        <v>49353</v>
      </c>
      <c r="AJ6981" s="5" t="s">
        <v>3624</v>
      </c>
      <c r="AK6981" s="5" t="s">
        <v>3625</v>
      </c>
    </row>
    <row r="6982" spans="35:37">
      <c r="AI6982" s="468">
        <v>49354</v>
      </c>
      <c r="AJ6982" s="5" t="s">
        <v>3626</v>
      </c>
      <c r="AK6982" s="5" t="s">
        <v>3627</v>
      </c>
    </row>
    <row r="6983" spans="35:37">
      <c r="AI6983" s="468">
        <v>49355</v>
      </c>
      <c r="AJ6983" s="5" t="s">
        <v>3628</v>
      </c>
      <c r="AK6983" s="5" t="s">
        <v>3618</v>
      </c>
    </row>
    <row r="6984" spans="35:37">
      <c r="AI6984" s="468">
        <v>49356</v>
      </c>
      <c r="AJ6984" s="5" t="s">
        <v>3617</v>
      </c>
      <c r="AK6984" s="5" t="s">
        <v>3620</v>
      </c>
    </row>
    <row r="6985" spans="35:37">
      <c r="AI6985" s="468">
        <v>49357</v>
      </c>
      <c r="AJ6985" s="5" t="s">
        <v>3619</v>
      </c>
      <c r="AK6985" s="5" t="s">
        <v>3622</v>
      </c>
    </row>
    <row r="6986" spans="35:37">
      <c r="AI6986" s="468">
        <v>49358</v>
      </c>
      <c r="AJ6986" s="5" t="s">
        <v>3621</v>
      </c>
      <c r="AK6986" s="5" t="s">
        <v>3623</v>
      </c>
    </row>
    <row r="6987" spans="35:37">
      <c r="AI6987" s="468">
        <v>49359</v>
      </c>
      <c r="AJ6987" s="5" t="s">
        <v>3579</v>
      </c>
      <c r="AK6987" s="5" t="s">
        <v>3625</v>
      </c>
    </row>
    <row r="6988" spans="35:37">
      <c r="AI6988" s="468">
        <v>49360</v>
      </c>
      <c r="AJ6988" s="5" t="s">
        <v>3624</v>
      </c>
      <c r="AK6988" s="5" t="s">
        <v>3627</v>
      </c>
    </row>
    <row r="6989" spans="35:37">
      <c r="AI6989" s="468">
        <v>49361</v>
      </c>
      <c r="AJ6989" s="5" t="s">
        <v>3626</v>
      </c>
      <c r="AK6989" s="5" t="s">
        <v>3618</v>
      </c>
    </row>
    <row r="6990" spans="35:37">
      <c r="AI6990" s="468">
        <v>49362</v>
      </c>
      <c r="AJ6990" s="5" t="s">
        <v>3628</v>
      </c>
      <c r="AK6990" s="5" t="s">
        <v>3620</v>
      </c>
    </row>
    <row r="6991" spans="35:37">
      <c r="AI6991" s="468">
        <v>49363</v>
      </c>
      <c r="AJ6991" s="5" t="s">
        <v>3617</v>
      </c>
      <c r="AK6991" s="5" t="s">
        <v>3622</v>
      </c>
    </row>
    <row r="6992" spans="35:37">
      <c r="AI6992" s="468">
        <v>49364</v>
      </c>
      <c r="AJ6992" s="5" t="s">
        <v>3619</v>
      </c>
      <c r="AK6992" s="5" t="s">
        <v>3623</v>
      </c>
    </row>
    <row r="6993" spans="35:37">
      <c r="AI6993" s="468">
        <v>49365</v>
      </c>
      <c r="AJ6993" s="5" t="s">
        <v>3621</v>
      </c>
      <c r="AK6993" s="5" t="s">
        <v>3625</v>
      </c>
    </row>
    <row r="6994" spans="35:37">
      <c r="AI6994" s="468">
        <v>49366</v>
      </c>
      <c r="AJ6994" s="5" t="s">
        <v>3579</v>
      </c>
      <c r="AK6994" s="5" t="s">
        <v>3627</v>
      </c>
    </row>
    <row r="6995" spans="35:37">
      <c r="AI6995" s="468">
        <v>49367</v>
      </c>
      <c r="AJ6995" s="5" t="s">
        <v>3624</v>
      </c>
      <c r="AK6995" s="5" t="s">
        <v>3618</v>
      </c>
    </row>
    <row r="6996" spans="35:37">
      <c r="AI6996" s="468">
        <v>49368</v>
      </c>
      <c r="AJ6996" s="5" t="s">
        <v>3626</v>
      </c>
      <c r="AK6996" s="5" t="s">
        <v>3620</v>
      </c>
    </row>
    <row r="6997" spans="35:37">
      <c r="AI6997" s="468">
        <v>49369</v>
      </c>
      <c r="AJ6997" s="5" t="s">
        <v>3628</v>
      </c>
      <c r="AK6997" s="5" t="s">
        <v>3622</v>
      </c>
    </row>
    <row r="6998" spans="35:37">
      <c r="AI6998" s="468">
        <v>49370</v>
      </c>
      <c r="AJ6998" s="5" t="s">
        <v>3617</v>
      </c>
      <c r="AK6998" s="5" t="s">
        <v>3623</v>
      </c>
    </row>
    <row r="6999" spans="35:37">
      <c r="AI6999" s="468">
        <v>49371</v>
      </c>
      <c r="AJ6999" s="5" t="s">
        <v>3619</v>
      </c>
      <c r="AK6999" s="5" t="s">
        <v>3625</v>
      </c>
    </row>
    <row r="7000" spans="35:37">
      <c r="AI7000" s="468">
        <v>49372</v>
      </c>
      <c r="AJ7000" s="5" t="s">
        <v>3621</v>
      </c>
      <c r="AK7000" s="5" t="s">
        <v>3627</v>
      </c>
    </row>
    <row r="7001" spans="35:37">
      <c r="AI7001" s="468">
        <v>49373</v>
      </c>
      <c r="AJ7001" s="5" t="s">
        <v>3579</v>
      </c>
      <c r="AK7001" s="5" t="s">
        <v>3618</v>
      </c>
    </row>
    <row r="7002" spans="35:37">
      <c r="AI7002" s="468">
        <v>49374</v>
      </c>
      <c r="AJ7002" s="5" t="s">
        <v>3624</v>
      </c>
      <c r="AK7002" s="5" t="s">
        <v>3620</v>
      </c>
    </row>
    <row r="7003" spans="35:37">
      <c r="AI7003" s="468">
        <v>49375</v>
      </c>
      <c r="AJ7003" s="5" t="s">
        <v>3626</v>
      </c>
      <c r="AK7003" s="5" t="s">
        <v>3622</v>
      </c>
    </row>
    <row r="7004" spans="35:37">
      <c r="AI7004" s="468">
        <v>49376</v>
      </c>
      <c r="AJ7004" s="5" t="s">
        <v>3628</v>
      </c>
      <c r="AK7004" s="5" t="s">
        <v>3623</v>
      </c>
    </row>
    <row r="7005" spans="35:37">
      <c r="AI7005" s="468">
        <v>49377</v>
      </c>
      <c r="AJ7005" s="5" t="s">
        <v>3617</v>
      </c>
      <c r="AK7005" s="5" t="s">
        <v>3625</v>
      </c>
    </row>
    <row r="7006" spans="35:37">
      <c r="AI7006" s="468">
        <v>49378</v>
      </c>
      <c r="AJ7006" s="5" t="s">
        <v>3619</v>
      </c>
      <c r="AK7006" s="5" t="s">
        <v>3618</v>
      </c>
    </row>
    <row r="7007" spans="35:37">
      <c r="AI7007" s="468">
        <v>49379</v>
      </c>
      <c r="AJ7007" s="5" t="s">
        <v>3621</v>
      </c>
      <c r="AK7007" s="5" t="s">
        <v>3620</v>
      </c>
    </row>
    <row r="7008" spans="35:37">
      <c r="AI7008" s="468">
        <v>49380</v>
      </c>
      <c r="AJ7008" s="5" t="s">
        <v>3579</v>
      </c>
      <c r="AK7008" s="5" t="s">
        <v>3622</v>
      </c>
    </row>
    <row r="7009" spans="35:37">
      <c r="AI7009" s="468">
        <v>49381</v>
      </c>
      <c r="AJ7009" s="5" t="s">
        <v>3624</v>
      </c>
      <c r="AK7009" s="5" t="s">
        <v>3623</v>
      </c>
    </row>
    <row r="7010" spans="35:37">
      <c r="AI7010" s="468">
        <v>49382</v>
      </c>
      <c r="AJ7010" s="5" t="s">
        <v>3626</v>
      </c>
      <c r="AK7010" s="5" t="s">
        <v>3625</v>
      </c>
    </row>
    <row r="7011" spans="35:37">
      <c r="AI7011" s="468">
        <v>49383</v>
      </c>
      <c r="AJ7011" s="5" t="s">
        <v>3628</v>
      </c>
      <c r="AK7011" s="5" t="s">
        <v>3627</v>
      </c>
    </row>
    <row r="7012" spans="35:37">
      <c r="AI7012" s="468">
        <v>49384</v>
      </c>
      <c r="AJ7012" s="5" t="s">
        <v>3617</v>
      </c>
      <c r="AK7012" s="5" t="s">
        <v>3618</v>
      </c>
    </row>
    <row r="7013" spans="35:37">
      <c r="AI7013" s="468">
        <v>49385</v>
      </c>
      <c r="AJ7013" s="5" t="s">
        <v>3619</v>
      </c>
      <c r="AK7013" s="5" t="s">
        <v>3620</v>
      </c>
    </row>
    <row r="7014" spans="35:37">
      <c r="AI7014" s="468">
        <v>49386</v>
      </c>
      <c r="AJ7014" s="5" t="s">
        <v>3621</v>
      </c>
      <c r="AK7014" s="5" t="s">
        <v>3622</v>
      </c>
    </row>
    <row r="7015" spans="35:37">
      <c r="AI7015" s="468">
        <v>49387</v>
      </c>
      <c r="AJ7015" s="5" t="s">
        <v>3579</v>
      </c>
      <c r="AK7015" s="5" t="s">
        <v>3623</v>
      </c>
    </row>
    <row r="7016" spans="35:37">
      <c r="AI7016" s="468">
        <v>49388</v>
      </c>
      <c r="AJ7016" s="5" t="s">
        <v>3624</v>
      </c>
      <c r="AK7016" s="5" t="s">
        <v>3625</v>
      </c>
    </row>
    <row r="7017" spans="35:37">
      <c r="AI7017" s="468">
        <v>49389</v>
      </c>
      <c r="AJ7017" s="5" t="s">
        <v>3626</v>
      </c>
      <c r="AK7017" s="5" t="s">
        <v>3627</v>
      </c>
    </row>
    <row r="7018" spans="35:37">
      <c r="AI7018" s="468">
        <v>49390</v>
      </c>
      <c r="AJ7018" s="5" t="s">
        <v>3628</v>
      </c>
      <c r="AK7018" s="5" t="s">
        <v>3618</v>
      </c>
    </row>
    <row r="7019" spans="35:37">
      <c r="AI7019" s="468">
        <v>49391</v>
      </c>
      <c r="AJ7019" s="5" t="s">
        <v>3617</v>
      </c>
      <c r="AK7019" s="5" t="s">
        <v>3620</v>
      </c>
    </row>
    <row r="7020" spans="35:37">
      <c r="AI7020" s="468">
        <v>49392</v>
      </c>
      <c r="AJ7020" s="5" t="s">
        <v>3619</v>
      </c>
      <c r="AK7020" s="5" t="s">
        <v>3622</v>
      </c>
    </row>
    <row r="7021" spans="35:37">
      <c r="AI7021" s="468">
        <v>49393</v>
      </c>
      <c r="AJ7021" s="5" t="s">
        <v>3621</v>
      </c>
      <c r="AK7021" s="5" t="s">
        <v>3623</v>
      </c>
    </row>
    <row r="7022" spans="35:37">
      <c r="AI7022" s="468">
        <v>49394</v>
      </c>
      <c r="AJ7022" s="5" t="s">
        <v>3579</v>
      </c>
      <c r="AK7022" s="5" t="s">
        <v>3625</v>
      </c>
    </row>
    <row r="7023" spans="35:37">
      <c r="AI7023" s="468">
        <v>49395</v>
      </c>
      <c r="AJ7023" s="5" t="s">
        <v>3624</v>
      </c>
      <c r="AK7023" s="5" t="s">
        <v>3627</v>
      </c>
    </row>
    <row r="7024" spans="35:37">
      <c r="AI7024" s="468">
        <v>49396</v>
      </c>
      <c r="AJ7024" s="5" t="s">
        <v>3626</v>
      </c>
      <c r="AK7024" s="5" t="s">
        <v>3618</v>
      </c>
    </row>
    <row r="7025" spans="35:37">
      <c r="AI7025" s="468">
        <v>49397</v>
      </c>
      <c r="AJ7025" s="5" t="s">
        <v>3628</v>
      </c>
      <c r="AK7025" s="5" t="s">
        <v>3620</v>
      </c>
    </row>
    <row r="7026" spans="35:37">
      <c r="AI7026" s="468">
        <v>49398</v>
      </c>
      <c r="AJ7026" s="5" t="s">
        <v>3617</v>
      </c>
      <c r="AK7026" s="5" t="s">
        <v>3622</v>
      </c>
    </row>
    <row r="7027" spans="35:37">
      <c r="AI7027" s="468">
        <v>49399</v>
      </c>
      <c r="AJ7027" s="5" t="s">
        <v>3619</v>
      </c>
      <c r="AK7027" s="5" t="s">
        <v>3623</v>
      </c>
    </row>
    <row r="7028" spans="35:37">
      <c r="AI7028" s="468">
        <v>49400</v>
      </c>
      <c r="AJ7028" s="5" t="s">
        <v>3621</v>
      </c>
      <c r="AK7028" s="5" t="s">
        <v>3625</v>
      </c>
    </row>
    <row r="7029" spans="35:37">
      <c r="AI7029" s="468">
        <v>49401</v>
      </c>
      <c r="AJ7029" s="5" t="s">
        <v>3579</v>
      </c>
      <c r="AK7029" s="5" t="s">
        <v>3627</v>
      </c>
    </row>
    <row r="7030" spans="35:37">
      <c r="AI7030" s="468">
        <v>49402</v>
      </c>
      <c r="AJ7030" s="5" t="s">
        <v>3624</v>
      </c>
      <c r="AK7030" s="5" t="s">
        <v>3618</v>
      </c>
    </row>
    <row r="7031" spans="35:37">
      <c r="AI7031" s="468">
        <v>49403</v>
      </c>
      <c r="AJ7031" s="5" t="s">
        <v>3626</v>
      </c>
      <c r="AK7031" s="5" t="s">
        <v>3620</v>
      </c>
    </row>
    <row r="7032" spans="35:37">
      <c r="AI7032" s="468">
        <v>49404</v>
      </c>
      <c r="AJ7032" s="5" t="s">
        <v>3628</v>
      </c>
      <c r="AK7032" s="5" t="s">
        <v>3622</v>
      </c>
    </row>
    <row r="7033" spans="35:37">
      <c r="AI7033" s="468">
        <v>49405</v>
      </c>
      <c r="AJ7033" s="5" t="s">
        <v>3617</v>
      </c>
      <c r="AK7033" s="5" t="s">
        <v>3623</v>
      </c>
    </row>
    <row r="7034" spans="35:37">
      <c r="AI7034" s="468">
        <v>49406</v>
      </c>
      <c r="AJ7034" s="5" t="s">
        <v>3619</v>
      </c>
      <c r="AK7034" s="5" t="s">
        <v>3625</v>
      </c>
    </row>
    <row r="7035" spans="35:37">
      <c r="AI7035" s="468">
        <v>49407</v>
      </c>
      <c r="AJ7035" s="5" t="s">
        <v>3621</v>
      </c>
      <c r="AK7035" s="5" t="s">
        <v>3620</v>
      </c>
    </row>
    <row r="7036" spans="35:37">
      <c r="AI7036" s="468">
        <v>49408</v>
      </c>
      <c r="AJ7036" s="5" t="s">
        <v>3579</v>
      </c>
      <c r="AK7036" s="5" t="s">
        <v>3622</v>
      </c>
    </row>
    <row r="7037" spans="35:37">
      <c r="AI7037" s="468">
        <v>49409</v>
      </c>
      <c r="AJ7037" s="5" t="s">
        <v>3624</v>
      </c>
      <c r="AK7037" s="5" t="s">
        <v>3623</v>
      </c>
    </row>
    <row r="7038" spans="35:37">
      <c r="AI7038" s="468">
        <v>49410</v>
      </c>
      <c r="AJ7038" s="5" t="s">
        <v>3626</v>
      </c>
      <c r="AK7038" s="5" t="s">
        <v>3625</v>
      </c>
    </row>
    <row r="7039" spans="35:37">
      <c r="AI7039" s="468">
        <v>49411</v>
      </c>
      <c r="AJ7039" s="5" t="s">
        <v>3628</v>
      </c>
      <c r="AK7039" s="5" t="s">
        <v>3627</v>
      </c>
    </row>
    <row r="7040" spans="35:37">
      <c r="AI7040" s="468">
        <v>49412</v>
      </c>
      <c r="AJ7040" s="5" t="s">
        <v>3617</v>
      </c>
      <c r="AK7040" s="5" t="s">
        <v>3618</v>
      </c>
    </row>
    <row r="7041" spans="35:37">
      <c r="AI7041" s="468">
        <v>49413</v>
      </c>
      <c r="AJ7041" s="5" t="s">
        <v>3619</v>
      </c>
      <c r="AK7041" s="5" t="s">
        <v>3620</v>
      </c>
    </row>
    <row r="7042" spans="35:37">
      <c r="AI7042" s="468">
        <v>49414</v>
      </c>
      <c r="AJ7042" s="5" t="s">
        <v>3621</v>
      </c>
      <c r="AK7042" s="5" t="s">
        <v>3622</v>
      </c>
    </row>
    <row r="7043" spans="35:37">
      <c r="AI7043" s="468">
        <v>49415</v>
      </c>
      <c r="AJ7043" s="5" t="s">
        <v>3579</v>
      </c>
      <c r="AK7043" s="5" t="s">
        <v>3623</v>
      </c>
    </row>
    <row r="7044" spans="35:37">
      <c r="AI7044" s="468">
        <v>49416</v>
      </c>
      <c r="AJ7044" s="5" t="s">
        <v>3624</v>
      </c>
      <c r="AK7044" s="5" t="s">
        <v>3625</v>
      </c>
    </row>
    <row r="7045" spans="35:37">
      <c r="AI7045" s="468">
        <v>49417</v>
      </c>
      <c r="AJ7045" s="5" t="s">
        <v>3626</v>
      </c>
      <c r="AK7045" s="5" t="s">
        <v>3627</v>
      </c>
    </row>
    <row r="7046" spans="35:37">
      <c r="AI7046" s="468">
        <v>49418</v>
      </c>
      <c r="AJ7046" s="5" t="s">
        <v>3628</v>
      </c>
      <c r="AK7046" s="5" t="s">
        <v>3618</v>
      </c>
    </row>
    <row r="7047" spans="35:37">
      <c r="AI7047" s="468">
        <v>49419</v>
      </c>
      <c r="AJ7047" s="5" t="s">
        <v>3617</v>
      </c>
      <c r="AK7047" s="5" t="s">
        <v>3620</v>
      </c>
    </row>
    <row r="7048" spans="35:37">
      <c r="AI7048" s="468">
        <v>49420</v>
      </c>
      <c r="AJ7048" s="5" t="s">
        <v>3619</v>
      </c>
      <c r="AK7048" s="5" t="s">
        <v>3622</v>
      </c>
    </row>
    <row r="7049" spans="35:37">
      <c r="AI7049" s="468">
        <v>49421</v>
      </c>
      <c r="AJ7049" s="5" t="s">
        <v>3621</v>
      </c>
      <c r="AK7049" s="5" t="s">
        <v>3623</v>
      </c>
    </row>
    <row r="7050" spans="35:37">
      <c r="AI7050" s="468">
        <v>49422</v>
      </c>
      <c r="AJ7050" s="5" t="s">
        <v>3579</v>
      </c>
      <c r="AK7050" s="5" t="s">
        <v>3625</v>
      </c>
    </row>
    <row r="7051" spans="35:37">
      <c r="AI7051" s="468">
        <v>49423</v>
      </c>
      <c r="AJ7051" s="5" t="s">
        <v>3624</v>
      </c>
      <c r="AK7051" s="5" t="s">
        <v>3627</v>
      </c>
    </row>
    <row r="7052" spans="35:37">
      <c r="AI7052" s="468">
        <v>49424</v>
      </c>
      <c r="AJ7052" s="5" t="s">
        <v>3626</v>
      </c>
      <c r="AK7052" s="5" t="s">
        <v>3618</v>
      </c>
    </row>
    <row r="7053" spans="35:37">
      <c r="AI7053" s="468">
        <v>49425</v>
      </c>
      <c r="AJ7053" s="5" t="s">
        <v>3628</v>
      </c>
      <c r="AK7053" s="5" t="s">
        <v>3620</v>
      </c>
    </row>
    <row r="7054" spans="35:37">
      <c r="AI7054" s="468">
        <v>49426</v>
      </c>
      <c r="AJ7054" s="5" t="s">
        <v>3617</v>
      </c>
      <c r="AK7054" s="5" t="s">
        <v>3622</v>
      </c>
    </row>
    <row r="7055" spans="35:37">
      <c r="AI7055" s="468">
        <v>49427</v>
      </c>
      <c r="AJ7055" s="5" t="s">
        <v>3619</v>
      </c>
      <c r="AK7055" s="5" t="s">
        <v>3623</v>
      </c>
    </row>
    <row r="7056" spans="35:37">
      <c r="AI7056" s="468">
        <v>49428</v>
      </c>
      <c r="AJ7056" s="5" t="s">
        <v>3621</v>
      </c>
      <c r="AK7056" s="5" t="s">
        <v>3625</v>
      </c>
    </row>
    <row r="7057" spans="35:37">
      <c r="AI7057" s="468">
        <v>49429</v>
      </c>
      <c r="AJ7057" s="5" t="s">
        <v>3579</v>
      </c>
      <c r="AK7057" s="5" t="s">
        <v>3627</v>
      </c>
    </row>
    <row r="7058" spans="35:37">
      <c r="AI7058" s="468">
        <v>49430</v>
      </c>
      <c r="AJ7058" s="5" t="s">
        <v>3624</v>
      </c>
      <c r="AK7058" s="5" t="s">
        <v>3618</v>
      </c>
    </row>
    <row r="7059" spans="35:37">
      <c r="AI7059" s="468">
        <v>49431</v>
      </c>
      <c r="AJ7059" s="5" t="s">
        <v>3626</v>
      </c>
      <c r="AK7059" s="5" t="s">
        <v>3620</v>
      </c>
    </row>
    <row r="7060" spans="35:37">
      <c r="AI7060" s="468">
        <v>49432</v>
      </c>
      <c r="AJ7060" s="5" t="s">
        <v>3628</v>
      </c>
      <c r="AK7060" s="5" t="s">
        <v>3622</v>
      </c>
    </row>
    <row r="7061" spans="35:37">
      <c r="AI7061" s="468">
        <v>49433</v>
      </c>
      <c r="AJ7061" s="5" t="s">
        <v>3617</v>
      </c>
      <c r="AK7061" s="5" t="s">
        <v>3623</v>
      </c>
    </row>
    <row r="7062" spans="35:37">
      <c r="AI7062" s="468">
        <v>49434</v>
      </c>
      <c r="AJ7062" s="5" t="s">
        <v>3619</v>
      </c>
      <c r="AK7062" s="5" t="s">
        <v>3625</v>
      </c>
    </row>
    <row r="7063" spans="35:37">
      <c r="AI7063" s="468">
        <v>49435</v>
      </c>
      <c r="AJ7063" s="5" t="s">
        <v>3621</v>
      </c>
      <c r="AK7063" s="5" t="s">
        <v>3627</v>
      </c>
    </row>
    <row r="7064" spans="35:37">
      <c r="AI7064" s="468">
        <v>49436</v>
      </c>
      <c r="AJ7064" s="5" t="s">
        <v>3579</v>
      </c>
      <c r="AK7064" s="5" t="s">
        <v>3618</v>
      </c>
    </row>
    <row r="7065" spans="35:37">
      <c r="AI7065" s="468">
        <v>49437</v>
      </c>
      <c r="AJ7065" s="5" t="s">
        <v>3624</v>
      </c>
      <c r="AK7065" s="5" t="s">
        <v>3622</v>
      </c>
    </row>
    <row r="7066" spans="35:37">
      <c r="AI7066" s="468">
        <v>49438</v>
      </c>
      <c r="AJ7066" s="5" t="s">
        <v>3626</v>
      </c>
      <c r="AK7066" s="5" t="s">
        <v>3623</v>
      </c>
    </row>
    <row r="7067" spans="35:37">
      <c r="AI7067" s="468">
        <v>49439</v>
      </c>
      <c r="AJ7067" s="5" t="s">
        <v>3628</v>
      </c>
      <c r="AK7067" s="5" t="s">
        <v>3625</v>
      </c>
    </row>
    <row r="7068" spans="35:37">
      <c r="AI7068" s="468">
        <v>49440</v>
      </c>
      <c r="AJ7068" s="5" t="s">
        <v>3617</v>
      </c>
      <c r="AK7068" s="5" t="s">
        <v>3627</v>
      </c>
    </row>
    <row r="7069" spans="35:37">
      <c r="AI7069" s="468">
        <v>49441</v>
      </c>
      <c r="AJ7069" s="5" t="s">
        <v>3619</v>
      </c>
      <c r="AK7069" s="5" t="s">
        <v>3618</v>
      </c>
    </row>
    <row r="7070" spans="35:37">
      <c r="AI7070" s="468">
        <v>49442</v>
      </c>
      <c r="AJ7070" s="5" t="s">
        <v>3621</v>
      </c>
      <c r="AK7070" s="5" t="s">
        <v>3620</v>
      </c>
    </row>
    <row r="7071" spans="35:37">
      <c r="AI7071" s="468">
        <v>49443</v>
      </c>
      <c r="AJ7071" s="5" t="s">
        <v>3579</v>
      </c>
      <c r="AK7071" s="5" t="s">
        <v>3622</v>
      </c>
    </row>
    <row r="7072" spans="35:37">
      <c r="AI7072" s="468">
        <v>49444</v>
      </c>
      <c r="AJ7072" s="5" t="s">
        <v>3624</v>
      </c>
      <c r="AK7072" s="5" t="s">
        <v>3623</v>
      </c>
    </row>
    <row r="7073" spans="35:37">
      <c r="AI7073" s="468">
        <v>49445</v>
      </c>
      <c r="AJ7073" s="5" t="s">
        <v>3626</v>
      </c>
      <c r="AK7073" s="5" t="s">
        <v>3625</v>
      </c>
    </row>
    <row r="7074" spans="35:37">
      <c r="AI7074" s="468">
        <v>49446</v>
      </c>
      <c r="AJ7074" s="5" t="s">
        <v>3628</v>
      </c>
      <c r="AK7074" s="5" t="s">
        <v>3627</v>
      </c>
    </row>
    <row r="7075" spans="35:37">
      <c r="AI7075" s="468">
        <v>49447</v>
      </c>
      <c r="AJ7075" s="5" t="s">
        <v>3617</v>
      </c>
      <c r="AK7075" s="5" t="s">
        <v>3618</v>
      </c>
    </row>
    <row r="7076" spans="35:37">
      <c r="AI7076" s="468">
        <v>49448</v>
      </c>
      <c r="AJ7076" s="5" t="s">
        <v>3619</v>
      </c>
      <c r="AK7076" s="5" t="s">
        <v>3620</v>
      </c>
    </row>
    <row r="7077" spans="35:37">
      <c r="AI7077" s="468">
        <v>49449</v>
      </c>
      <c r="AJ7077" s="5" t="s">
        <v>3621</v>
      </c>
      <c r="AK7077" s="5" t="s">
        <v>3622</v>
      </c>
    </row>
    <row r="7078" spans="35:37">
      <c r="AI7078" s="468">
        <v>49450</v>
      </c>
      <c r="AJ7078" s="5" t="s">
        <v>3579</v>
      </c>
      <c r="AK7078" s="5" t="s">
        <v>3623</v>
      </c>
    </row>
    <row r="7079" spans="35:37">
      <c r="AI7079" s="468">
        <v>49451</v>
      </c>
      <c r="AJ7079" s="5" t="s">
        <v>3624</v>
      </c>
      <c r="AK7079" s="5" t="s">
        <v>3625</v>
      </c>
    </row>
    <row r="7080" spans="35:37">
      <c r="AI7080" s="468">
        <v>49452</v>
      </c>
      <c r="AJ7080" s="5" t="s">
        <v>3626</v>
      </c>
      <c r="AK7080" s="5" t="s">
        <v>3627</v>
      </c>
    </row>
    <row r="7081" spans="35:37">
      <c r="AI7081" s="468">
        <v>49453</v>
      </c>
      <c r="AJ7081" s="5" t="s">
        <v>3628</v>
      </c>
      <c r="AK7081" s="5" t="s">
        <v>3618</v>
      </c>
    </row>
    <row r="7082" spans="35:37">
      <c r="AI7082" s="468">
        <v>49454</v>
      </c>
      <c r="AJ7082" s="5" t="s">
        <v>3617</v>
      </c>
      <c r="AK7082" s="5" t="s">
        <v>3620</v>
      </c>
    </row>
    <row r="7083" spans="35:37">
      <c r="AI7083" s="468">
        <v>49455</v>
      </c>
      <c r="AJ7083" s="5" t="s">
        <v>3619</v>
      </c>
      <c r="AK7083" s="5" t="s">
        <v>3622</v>
      </c>
    </row>
    <row r="7084" spans="35:37">
      <c r="AI7084" s="468">
        <v>49456</v>
      </c>
      <c r="AJ7084" s="5" t="s">
        <v>3621</v>
      </c>
      <c r="AK7084" s="5" t="s">
        <v>3623</v>
      </c>
    </row>
    <row r="7085" spans="35:37">
      <c r="AI7085" s="468">
        <v>49457</v>
      </c>
      <c r="AJ7085" s="5" t="s">
        <v>3579</v>
      </c>
      <c r="AK7085" s="5" t="s">
        <v>3625</v>
      </c>
    </row>
    <row r="7086" spans="35:37">
      <c r="AI7086" s="468">
        <v>49458</v>
      </c>
      <c r="AJ7086" s="5" t="s">
        <v>3624</v>
      </c>
      <c r="AK7086" s="5" t="s">
        <v>3627</v>
      </c>
    </row>
    <row r="7087" spans="35:37">
      <c r="AI7087" s="468">
        <v>49459</v>
      </c>
      <c r="AJ7087" s="5" t="s">
        <v>3626</v>
      </c>
      <c r="AK7087" s="5" t="s">
        <v>3618</v>
      </c>
    </row>
    <row r="7088" spans="35:37">
      <c r="AI7088" s="468">
        <v>49460</v>
      </c>
      <c r="AJ7088" s="5" t="s">
        <v>3628</v>
      </c>
      <c r="AK7088" s="5" t="s">
        <v>3620</v>
      </c>
    </row>
    <row r="7089" spans="35:37">
      <c r="AI7089" s="468">
        <v>49461</v>
      </c>
      <c r="AJ7089" s="5" t="s">
        <v>3617</v>
      </c>
      <c r="AK7089" s="5" t="s">
        <v>3622</v>
      </c>
    </row>
    <row r="7090" spans="35:37">
      <c r="AI7090" s="468">
        <v>49462</v>
      </c>
      <c r="AJ7090" s="5" t="s">
        <v>3619</v>
      </c>
      <c r="AK7090" s="5" t="s">
        <v>3623</v>
      </c>
    </row>
    <row r="7091" spans="35:37">
      <c r="AI7091" s="468">
        <v>49463</v>
      </c>
      <c r="AJ7091" s="5" t="s">
        <v>3621</v>
      </c>
      <c r="AK7091" s="5" t="s">
        <v>3625</v>
      </c>
    </row>
    <row r="7092" spans="35:37">
      <c r="AI7092" s="468">
        <v>49464</v>
      </c>
      <c r="AJ7092" s="5" t="s">
        <v>3579</v>
      </c>
      <c r="AK7092" s="5" t="s">
        <v>3627</v>
      </c>
    </row>
    <row r="7093" spans="35:37">
      <c r="AI7093" s="468">
        <v>49465</v>
      </c>
      <c r="AJ7093" s="5" t="s">
        <v>3624</v>
      </c>
      <c r="AK7093" s="5" t="s">
        <v>3618</v>
      </c>
    </row>
    <row r="7094" spans="35:37">
      <c r="AI7094" s="468">
        <v>49466</v>
      </c>
      <c r="AJ7094" s="5" t="s">
        <v>3626</v>
      </c>
      <c r="AK7094" s="5" t="s">
        <v>3623</v>
      </c>
    </row>
    <row r="7095" spans="35:37">
      <c r="AI7095" s="468">
        <v>49467</v>
      </c>
      <c r="AJ7095" s="5" t="s">
        <v>3628</v>
      </c>
      <c r="AK7095" s="5" t="s">
        <v>3625</v>
      </c>
    </row>
    <row r="7096" spans="35:37">
      <c r="AI7096" s="468">
        <v>49468</v>
      </c>
      <c r="AJ7096" s="5" t="s">
        <v>3617</v>
      </c>
      <c r="AK7096" s="5" t="s">
        <v>3627</v>
      </c>
    </row>
    <row r="7097" spans="35:37">
      <c r="AI7097" s="468">
        <v>49469</v>
      </c>
      <c r="AJ7097" s="5" t="s">
        <v>3619</v>
      </c>
      <c r="AK7097" s="5" t="s">
        <v>3618</v>
      </c>
    </row>
    <row r="7098" spans="35:37">
      <c r="AI7098" s="468">
        <v>49470</v>
      </c>
      <c r="AJ7098" s="5" t="s">
        <v>3621</v>
      </c>
      <c r="AK7098" s="5" t="s">
        <v>3620</v>
      </c>
    </row>
    <row r="7099" spans="35:37">
      <c r="AI7099" s="468">
        <v>49471</v>
      </c>
      <c r="AJ7099" s="5" t="s">
        <v>3579</v>
      </c>
      <c r="AK7099" s="5" t="s">
        <v>3622</v>
      </c>
    </row>
    <row r="7100" spans="35:37">
      <c r="AI7100" s="468">
        <v>49472</v>
      </c>
      <c r="AJ7100" s="5" t="s">
        <v>3624</v>
      </c>
      <c r="AK7100" s="5" t="s">
        <v>3623</v>
      </c>
    </row>
    <row r="7101" spans="35:37">
      <c r="AI7101" s="468">
        <v>49473</v>
      </c>
      <c r="AJ7101" s="5" t="s">
        <v>3626</v>
      </c>
      <c r="AK7101" s="5" t="s">
        <v>3625</v>
      </c>
    </row>
    <row r="7102" spans="35:37">
      <c r="AI7102" s="468">
        <v>49474</v>
      </c>
      <c r="AJ7102" s="5" t="s">
        <v>3628</v>
      </c>
      <c r="AK7102" s="5" t="s">
        <v>3627</v>
      </c>
    </row>
    <row r="7103" spans="35:37">
      <c r="AI7103" s="468">
        <v>49475</v>
      </c>
      <c r="AJ7103" s="5" t="s">
        <v>3617</v>
      </c>
      <c r="AK7103" s="5" t="s">
        <v>3618</v>
      </c>
    </row>
    <row r="7104" spans="35:37">
      <c r="AI7104" s="468">
        <v>49476</v>
      </c>
      <c r="AJ7104" s="5" t="s">
        <v>3619</v>
      </c>
      <c r="AK7104" s="5" t="s">
        <v>3620</v>
      </c>
    </row>
    <row r="7105" spans="35:37">
      <c r="AI7105" s="468">
        <v>49477</v>
      </c>
      <c r="AJ7105" s="5" t="s">
        <v>3621</v>
      </c>
      <c r="AK7105" s="5" t="s">
        <v>3622</v>
      </c>
    </row>
    <row r="7106" spans="35:37">
      <c r="AI7106" s="468">
        <v>49478</v>
      </c>
      <c r="AJ7106" s="5" t="s">
        <v>3579</v>
      </c>
      <c r="AK7106" s="5" t="s">
        <v>3623</v>
      </c>
    </row>
    <row r="7107" spans="35:37">
      <c r="AI7107" s="468">
        <v>49479</v>
      </c>
      <c r="AJ7107" s="5" t="s">
        <v>3624</v>
      </c>
      <c r="AK7107" s="5" t="s">
        <v>3625</v>
      </c>
    </row>
    <row r="7108" spans="35:37">
      <c r="AI7108" s="468">
        <v>49480</v>
      </c>
      <c r="AJ7108" s="5" t="s">
        <v>3626</v>
      </c>
      <c r="AK7108" s="5" t="s">
        <v>3627</v>
      </c>
    </row>
    <row r="7109" spans="35:37">
      <c r="AI7109" s="468">
        <v>49481</v>
      </c>
      <c r="AJ7109" s="5" t="s">
        <v>3628</v>
      </c>
      <c r="AK7109" s="5" t="s">
        <v>3618</v>
      </c>
    </row>
    <row r="7110" spans="35:37">
      <c r="AI7110" s="468">
        <v>49482</v>
      </c>
      <c r="AJ7110" s="5" t="s">
        <v>3617</v>
      </c>
      <c r="AK7110" s="5" t="s">
        <v>3620</v>
      </c>
    </row>
    <row r="7111" spans="35:37">
      <c r="AI7111" s="468">
        <v>49483</v>
      </c>
      <c r="AJ7111" s="5" t="s">
        <v>3619</v>
      </c>
      <c r="AK7111" s="5" t="s">
        <v>3622</v>
      </c>
    </row>
    <row r="7112" spans="35:37">
      <c r="AI7112" s="468">
        <v>49484</v>
      </c>
      <c r="AJ7112" s="5" t="s">
        <v>3621</v>
      </c>
      <c r="AK7112" s="5" t="s">
        <v>3623</v>
      </c>
    </row>
    <row r="7113" spans="35:37">
      <c r="AI7113" s="468">
        <v>49485</v>
      </c>
      <c r="AJ7113" s="5" t="s">
        <v>3579</v>
      </c>
      <c r="AK7113" s="5" t="s">
        <v>3625</v>
      </c>
    </row>
    <row r="7114" spans="35:37">
      <c r="AI7114" s="468">
        <v>49486</v>
      </c>
      <c r="AJ7114" s="5" t="s">
        <v>3624</v>
      </c>
      <c r="AK7114" s="5" t="s">
        <v>3627</v>
      </c>
    </row>
    <row r="7115" spans="35:37">
      <c r="AI7115" s="468">
        <v>49487</v>
      </c>
      <c r="AJ7115" s="5" t="s">
        <v>3626</v>
      </c>
      <c r="AK7115" s="5" t="s">
        <v>3618</v>
      </c>
    </row>
    <row r="7116" spans="35:37">
      <c r="AI7116" s="468">
        <v>49488</v>
      </c>
      <c r="AJ7116" s="5" t="s">
        <v>3628</v>
      </c>
      <c r="AK7116" s="5" t="s">
        <v>3620</v>
      </c>
    </row>
    <row r="7117" spans="35:37">
      <c r="AI7117" s="468">
        <v>49489</v>
      </c>
      <c r="AJ7117" s="5" t="s">
        <v>3617</v>
      </c>
      <c r="AK7117" s="5" t="s">
        <v>3622</v>
      </c>
    </row>
    <row r="7118" spans="35:37">
      <c r="AI7118" s="468">
        <v>49490</v>
      </c>
      <c r="AJ7118" s="5" t="s">
        <v>3619</v>
      </c>
      <c r="AK7118" s="5" t="s">
        <v>3623</v>
      </c>
    </row>
    <row r="7119" spans="35:37">
      <c r="AI7119" s="468">
        <v>49491</v>
      </c>
      <c r="AJ7119" s="5" t="s">
        <v>3621</v>
      </c>
      <c r="AK7119" s="5" t="s">
        <v>3625</v>
      </c>
    </row>
    <row r="7120" spans="35:37">
      <c r="AI7120" s="468">
        <v>49492</v>
      </c>
      <c r="AJ7120" s="5" t="s">
        <v>3579</v>
      </c>
      <c r="AK7120" s="5" t="s">
        <v>3627</v>
      </c>
    </row>
    <row r="7121" spans="35:37">
      <c r="AI7121" s="468">
        <v>49493</v>
      </c>
      <c r="AJ7121" s="5" t="s">
        <v>3624</v>
      </c>
      <c r="AK7121" s="5" t="s">
        <v>3618</v>
      </c>
    </row>
    <row r="7122" spans="35:37">
      <c r="AI7122" s="468">
        <v>49494</v>
      </c>
      <c r="AJ7122" s="5" t="s">
        <v>3626</v>
      </c>
      <c r="AK7122" s="5" t="s">
        <v>3620</v>
      </c>
    </row>
    <row r="7123" spans="35:37">
      <c r="AI7123" s="468">
        <v>49495</v>
      </c>
      <c r="AJ7123" s="5" t="s">
        <v>3628</v>
      </c>
      <c r="AK7123" s="5" t="s">
        <v>3625</v>
      </c>
    </row>
    <row r="7124" spans="35:37">
      <c r="AI7124" s="468">
        <v>49496</v>
      </c>
      <c r="AJ7124" s="5" t="s">
        <v>3617</v>
      </c>
      <c r="AK7124" s="5" t="s">
        <v>3627</v>
      </c>
    </row>
    <row r="7125" spans="35:37">
      <c r="AI7125" s="468">
        <v>49497</v>
      </c>
      <c r="AJ7125" s="5" t="s">
        <v>3619</v>
      </c>
      <c r="AK7125" s="5" t="s">
        <v>3618</v>
      </c>
    </row>
    <row r="7126" spans="35:37">
      <c r="AI7126" s="468">
        <v>49498</v>
      </c>
      <c r="AJ7126" s="5" t="s">
        <v>3621</v>
      </c>
      <c r="AK7126" s="5" t="s">
        <v>3620</v>
      </c>
    </row>
    <row r="7127" spans="35:37">
      <c r="AI7127" s="468">
        <v>49499</v>
      </c>
      <c r="AJ7127" s="5" t="s">
        <v>3579</v>
      </c>
      <c r="AK7127" s="5" t="s">
        <v>3622</v>
      </c>
    </row>
    <row r="7128" spans="35:37">
      <c r="AI7128" s="468">
        <v>49500</v>
      </c>
      <c r="AJ7128" s="5" t="s">
        <v>3624</v>
      </c>
      <c r="AK7128" s="5" t="s">
        <v>3623</v>
      </c>
    </row>
    <row r="7129" spans="35:37">
      <c r="AI7129" s="468">
        <v>49501</v>
      </c>
      <c r="AJ7129" s="5" t="s">
        <v>3626</v>
      </c>
      <c r="AK7129" s="5" t="s">
        <v>3625</v>
      </c>
    </row>
    <row r="7130" spans="35:37">
      <c r="AI7130" s="468">
        <v>49502</v>
      </c>
      <c r="AJ7130" s="5" t="s">
        <v>3628</v>
      </c>
      <c r="AK7130" s="5" t="s">
        <v>3627</v>
      </c>
    </row>
    <row r="7131" spans="35:37">
      <c r="AI7131" s="468">
        <v>49503</v>
      </c>
      <c r="AJ7131" s="5" t="s">
        <v>3617</v>
      </c>
      <c r="AK7131" s="5" t="s">
        <v>3618</v>
      </c>
    </row>
    <row r="7132" spans="35:37">
      <c r="AI7132" s="468">
        <v>49504</v>
      </c>
      <c r="AJ7132" s="5" t="s">
        <v>3619</v>
      </c>
      <c r="AK7132" s="5" t="s">
        <v>3620</v>
      </c>
    </row>
    <row r="7133" spans="35:37">
      <c r="AI7133" s="468">
        <v>49505</v>
      </c>
      <c r="AJ7133" s="5" t="s">
        <v>3621</v>
      </c>
      <c r="AK7133" s="5" t="s">
        <v>3622</v>
      </c>
    </row>
    <row r="7134" spans="35:37">
      <c r="AI7134" s="468">
        <v>49506</v>
      </c>
      <c r="AJ7134" s="5" t="s">
        <v>3579</v>
      </c>
      <c r="AK7134" s="5" t="s">
        <v>3623</v>
      </c>
    </row>
    <row r="7135" spans="35:37">
      <c r="AI7135" s="468">
        <v>49507</v>
      </c>
      <c r="AJ7135" s="5" t="s">
        <v>3624</v>
      </c>
      <c r="AK7135" s="5" t="s">
        <v>3625</v>
      </c>
    </row>
    <row r="7136" spans="35:37">
      <c r="AI7136" s="468">
        <v>49508</v>
      </c>
      <c r="AJ7136" s="5" t="s">
        <v>3626</v>
      </c>
      <c r="AK7136" s="5" t="s">
        <v>3627</v>
      </c>
    </row>
    <row r="7137" spans="35:37">
      <c r="AI7137" s="468">
        <v>49509</v>
      </c>
      <c r="AJ7137" s="5" t="s">
        <v>3628</v>
      </c>
      <c r="AK7137" s="5" t="s">
        <v>3618</v>
      </c>
    </row>
    <row r="7138" spans="35:37">
      <c r="AI7138" s="468">
        <v>49510</v>
      </c>
      <c r="AJ7138" s="5" t="s">
        <v>3617</v>
      </c>
      <c r="AK7138" s="5" t="s">
        <v>3620</v>
      </c>
    </row>
    <row r="7139" spans="35:37">
      <c r="AI7139" s="468">
        <v>49511</v>
      </c>
      <c r="AJ7139" s="5" t="s">
        <v>3619</v>
      </c>
      <c r="AK7139" s="5" t="s">
        <v>3622</v>
      </c>
    </row>
    <row r="7140" spans="35:37">
      <c r="AI7140" s="468">
        <v>49512</v>
      </c>
      <c r="AJ7140" s="5" t="s">
        <v>3621</v>
      </c>
      <c r="AK7140" s="5" t="s">
        <v>3623</v>
      </c>
    </row>
    <row r="7141" spans="35:37">
      <c r="AI7141" s="468">
        <v>49513</v>
      </c>
      <c r="AJ7141" s="5" t="s">
        <v>3579</v>
      </c>
      <c r="AK7141" s="5" t="s">
        <v>3625</v>
      </c>
    </row>
    <row r="7142" spans="35:37">
      <c r="AI7142" s="468">
        <v>49514</v>
      </c>
      <c r="AJ7142" s="5" t="s">
        <v>3624</v>
      </c>
      <c r="AK7142" s="5" t="s">
        <v>3627</v>
      </c>
    </row>
    <row r="7143" spans="35:37">
      <c r="AI7143" s="468">
        <v>49515</v>
      </c>
      <c r="AJ7143" s="5" t="s">
        <v>3626</v>
      </c>
      <c r="AK7143" s="5" t="s">
        <v>3618</v>
      </c>
    </row>
    <row r="7144" spans="35:37">
      <c r="AI7144" s="468">
        <v>49516</v>
      </c>
      <c r="AJ7144" s="5" t="s">
        <v>3628</v>
      </c>
      <c r="AK7144" s="5" t="s">
        <v>3620</v>
      </c>
    </row>
    <row r="7145" spans="35:37">
      <c r="AI7145" s="468">
        <v>49517</v>
      </c>
      <c r="AJ7145" s="5" t="s">
        <v>3617</v>
      </c>
      <c r="AK7145" s="5" t="s">
        <v>3622</v>
      </c>
    </row>
    <row r="7146" spans="35:37">
      <c r="AI7146" s="468">
        <v>49518</v>
      </c>
      <c r="AJ7146" s="5" t="s">
        <v>3619</v>
      </c>
      <c r="AK7146" s="5" t="s">
        <v>3623</v>
      </c>
    </row>
    <row r="7147" spans="35:37">
      <c r="AI7147" s="468">
        <v>49519</v>
      </c>
      <c r="AJ7147" s="5" t="s">
        <v>3621</v>
      </c>
      <c r="AK7147" s="5" t="s">
        <v>3625</v>
      </c>
    </row>
    <row r="7148" spans="35:37">
      <c r="AI7148" s="468">
        <v>49520</v>
      </c>
      <c r="AJ7148" s="5" t="s">
        <v>3579</v>
      </c>
      <c r="AK7148" s="5" t="s">
        <v>3627</v>
      </c>
    </row>
    <row r="7149" spans="35:37">
      <c r="AI7149" s="468">
        <v>49521</v>
      </c>
      <c r="AJ7149" s="5" t="s">
        <v>3624</v>
      </c>
      <c r="AK7149" s="5" t="s">
        <v>3618</v>
      </c>
    </row>
    <row r="7150" spans="35:37">
      <c r="AI7150" s="468">
        <v>49522</v>
      </c>
      <c r="AJ7150" s="5" t="s">
        <v>3626</v>
      </c>
      <c r="AK7150" s="5" t="s">
        <v>3620</v>
      </c>
    </row>
    <row r="7151" spans="35:37">
      <c r="AI7151" s="468">
        <v>49523</v>
      </c>
      <c r="AJ7151" s="5" t="s">
        <v>3628</v>
      </c>
      <c r="AK7151" s="5" t="s">
        <v>3622</v>
      </c>
    </row>
    <row r="7152" spans="35:37">
      <c r="AI7152" s="468">
        <v>49524</v>
      </c>
      <c r="AJ7152" s="5" t="s">
        <v>3617</v>
      </c>
      <c r="AK7152" s="5" t="s">
        <v>3623</v>
      </c>
    </row>
    <row r="7153" spans="35:37">
      <c r="AI7153" s="468">
        <v>49525</v>
      </c>
      <c r="AJ7153" s="5" t="s">
        <v>3619</v>
      </c>
      <c r="AK7153" s="5" t="s">
        <v>3627</v>
      </c>
    </row>
    <row r="7154" spans="35:37">
      <c r="AI7154" s="468">
        <v>49526</v>
      </c>
      <c r="AJ7154" s="5" t="s">
        <v>3621</v>
      </c>
      <c r="AK7154" s="5" t="s">
        <v>3618</v>
      </c>
    </row>
    <row r="7155" spans="35:37">
      <c r="AI7155" s="468">
        <v>49527</v>
      </c>
      <c r="AJ7155" s="5" t="s">
        <v>3579</v>
      </c>
      <c r="AK7155" s="5" t="s">
        <v>3620</v>
      </c>
    </row>
    <row r="7156" spans="35:37">
      <c r="AI7156" s="468">
        <v>49528</v>
      </c>
      <c r="AJ7156" s="5" t="s">
        <v>3624</v>
      </c>
      <c r="AK7156" s="5" t="s">
        <v>3622</v>
      </c>
    </row>
    <row r="7157" spans="35:37">
      <c r="AI7157" s="468">
        <v>49529</v>
      </c>
      <c r="AJ7157" s="5" t="s">
        <v>3626</v>
      </c>
      <c r="AK7157" s="5" t="s">
        <v>3623</v>
      </c>
    </row>
    <row r="7158" spans="35:37">
      <c r="AI7158" s="468">
        <v>49530</v>
      </c>
      <c r="AJ7158" s="5" t="s">
        <v>3628</v>
      </c>
      <c r="AK7158" s="5" t="s">
        <v>3625</v>
      </c>
    </row>
    <row r="7159" spans="35:37">
      <c r="AI7159" s="468">
        <v>49531</v>
      </c>
      <c r="AJ7159" s="5" t="s">
        <v>3617</v>
      </c>
      <c r="AK7159" s="5" t="s">
        <v>3627</v>
      </c>
    </row>
    <row r="7160" spans="35:37">
      <c r="AI7160" s="468">
        <v>49532</v>
      </c>
      <c r="AJ7160" s="5" t="s">
        <v>3619</v>
      </c>
      <c r="AK7160" s="5" t="s">
        <v>3618</v>
      </c>
    </row>
    <row r="7161" spans="35:37">
      <c r="AI7161" s="468">
        <v>49533</v>
      </c>
      <c r="AJ7161" s="5" t="s">
        <v>3621</v>
      </c>
      <c r="AK7161" s="5" t="s">
        <v>3620</v>
      </c>
    </row>
    <row r="7162" spans="35:37">
      <c r="AI7162" s="468">
        <v>49534</v>
      </c>
      <c r="AJ7162" s="5" t="s">
        <v>3579</v>
      </c>
      <c r="AK7162" s="5" t="s">
        <v>3622</v>
      </c>
    </row>
    <row r="7163" spans="35:37">
      <c r="AI7163" s="468">
        <v>49535</v>
      </c>
      <c r="AJ7163" s="5" t="s">
        <v>3624</v>
      </c>
      <c r="AK7163" s="5" t="s">
        <v>3623</v>
      </c>
    </row>
    <row r="7164" spans="35:37">
      <c r="AI7164" s="468">
        <v>49536</v>
      </c>
      <c r="AJ7164" s="5" t="s">
        <v>3626</v>
      </c>
      <c r="AK7164" s="5" t="s">
        <v>3625</v>
      </c>
    </row>
    <row r="7165" spans="35:37">
      <c r="AI7165" s="468">
        <v>49537</v>
      </c>
      <c r="AJ7165" s="5" t="s">
        <v>3628</v>
      </c>
      <c r="AK7165" s="5" t="s">
        <v>3627</v>
      </c>
    </row>
    <row r="7166" spans="35:37">
      <c r="AI7166" s="468">
        <v>49538</v>
      </c>
      <c r="AJ7166" s="5" t="s">
        <v>3617</v>
      </c>
      <c r="AK7166" s="5" t="s">
        <v>3618</v>
      </c>
    </row>
    <row r="7167" spans="35:37">
      <c r="AI7167" s="468">
        <v>49539</v>
      </c>
      <c r="AJ7167" s="5" t="s">
        <v>3619</v>
      </c>
      <c r="AK7167" s="5" t="s">
        <v>3620</v>
      </c>
    </row>
    <row r="7168" spans="35:37">
      <c r="AI7168" s="468">
        <v>49540</v>
      </c>
      <c r="AJ7168" s="5" t="s">
        <v>3621</v>
      </c>
      <c r="AK7168" s="5" t="s">
        <v>3622</v>
      </c>
    </row>
    <row r="7169" spans="35:37">
      <c r="AI7169" s="468">
        <v>49541</v>
      </c>
      <c r="AJ7169" s="5" t="s">
        <v>3579</v>
      </c>
      <c r="AK7169" s="5" t="s">
        <v>3623</v>
      </c>
    </row>
    <row r="7170" spans="35:37">
      <c r="AI7170" s="468">
        <v>49542</v>
      </c>
      <c r="AJ7170" s="5" t="s">
        <v>3624</v>
      </c>
      <c r="AK7170" s="5" t="s">
        <v>3625</v>
      </c>
    </row>
    <row r="7171" spans="35:37">
      <c r="AI7171" s="468">
        <v>49543</v>
      </c>
      <c r="AJ7171" s="5" t="s">
        <v>3626</v>
      </c>
      <c r="AK7171" s="5" t="s">
        <v>3627</v>
      </c>
    </row>
    <row r="7172" spans="35:37">
      <c r="AI7172" s="468">
        <v>49544</v>
      </c>
      <c r="AJ7172" s="5" t="s">
        <v>3628</v>
      </c>
      <c r="AK7172" s="5" t="s">
        <v>3618</v>
      </c>
    </row>
    <row r="7173" spans="35:37">
      <c r="AI7173" s="468">
        <v>49545</v>
      </c>
      <c r="AJ7173" s="5" t="s">
        <v>3617</v>
      </c>
      <c r="AK7173" s="5" t="s">
        <v>3620</v>
      </c>
    </row>
    <row r="7174" spans="35:37">
      <c r="AI7174" s="468">
        <v>49546</v>
      </c>
      <c r="AJ7174" s="5" t="s">
        <v>3619</v>
      </c>
      <c r="AK7174" s="5" t="s">
        <v>3622</v>
      </c>
    </row>
    <row r="7175" spans="35:37">
      <c r="AI7175" s="468">
        <v>49547</v>
      </c>
      <c r="AJ7175" s="5" t="s">
        <v>3621</v>
      </c>
      <c r="AK7175" s="5" t="s">
        <v>3623</v>
      </c>
    </row>
    <row r="7176" spans="35:37">
      <c r="AI7176" s="468">
        <v>49548</v>
      </c>
      <c r="AJ7176" s="5" t="s">
        <v>3579</v>
      </c>
      <c r="AK7176" s="5" t="s">
        <v>3625</v>
      </c>
    </row>
    <row r="7177" spans="35:37">
      <c r="AI7177" s="468">
        <v>49549</v>
      </c>
      <c r="AJ7177" s="5" t="s">
        <v>3624</v>
      </c>
      <c r="AK7177" s="5" t="s">
        <v>3627</v>
      </c>
    </row>
    <row r="7178" spans="35:37">
      <c r="AI7178" s="468">
        <v>49550</v>
      </c>
      <c r="AJ7178" s="5" t="s">
        <v>3626</v>
      </c>
      <c r="AK7178" s="5" t="s">
        <v>3618</v>
      </c>
    </row>
    <row r="7179" spans="35:37">
      <c r="AI7179" s="468">
        <v>49551</v>
      </c>
      <c r="AJ7179" s="5" t="s">
        <v>3628</v>
      </c>
      <c r="AK7179" s="5" t="s">
        <v>3620</v>
      </c>
    </row>
    <row r="7180" spans="35:37">
      <c r="AI7180" s="468">
        <v>49552</v>
      </c>
      <c r="AJ7180" s="5" t="s">
        <v>3617</v>
      </c>
      <c r="AK7180" s="5" t="s">
        <v>3622</v>
      </c>
    </row>
    <row r="7181" spans="35:37">
      <c r="AI7181" s="468">
        <v>49553</v>
      </c>
      <c r="AJ7181" s="5" t="s">
        <v>3619</v>
      </c>
      <c r="AK7181" s="5" t="s">
        <v>3623</v>
      </c>
    </row>
    <row r="7182" spans="35:37">
      <c r="AI7182" s="468">
        <v>49554</v>
      </c>
      <c r="AJ7182" s="5" t="s">
        <v>3621</v>
      </c>
      <c r="AK7182" s="5" t="s">
        <v>3618</v>
      </c>
    </row>
    <row r="7183" spans="35:37">
      <c r="AI7183" s="468">
        <v>49555</v>
      </c>
      <c r="AJ7183" s="5" t="s">
        <v>3579</v>
      </c>
      <c r="AK7183" s="5" t="s">
        <v>3620</v>
      </c>
    </row>
    <row r="7184" spans="35:37">
      <c r="AI7184" s="468">
        <v>49556</v>
      </c>
      <c r="AJ7184" s="5" t="s">
        <v>3624</v>
      </c>
      <c r="AK7184" s="5" t="s">
        <v>3622</v>
      </c>
    </row>
    <row r="7185" spans="35:37">
      <c r="AI7185" s="468">
        <v>49557</v>
      </c>
      <c r="AJ7185" s="5" t="s">
        <v>3626</v>
      </c>
      <c r="AK7185" s="5" t="s">
        <v>3623</v>
      </c>
    </row>
    <row r="7186" spans="35:37">
      <c r="AI7186" s="468">
        <v>49558</v>
      </c>
      <c r="AJ7186" s="5" t="s">
        <v>3628</v>
      </c>
      <c r="AK7186" s="5" t="s">
        <v>3625</v>
      </c>
    </row>
    <row r="7187" spans="35:37">
      <c r="AI7187" s="468">
        <v>49559</v>
      </c>
      <c r="AJ7187" s="5" t="s">
        <v>3617</v>
      </c>
      <c r="AK7187" s="5" t="s">
        <v>3627</v>
      </c>
    </row>
    <row r="7188" spans="35:37">
      <c r="AI7188" s="468">
        <v>49560</v>
      </c>
      <c r="AJ7188" s="5" t="s">
        <v>3619</v>
      </c>
      <c r="AK7188" s="5" t="s">
        <v>3618</v>
      </c>
    </row>
    <row r="7189" spans="35:37">
      <c r="AI7189" s="468">
        <v>49561</v>
      </c>
      <c r="AJ7189" s="5" t="s">
        <v>3621</v>
      </c>
      <c r="AK7189" s="5" t="s">
        <v>3620</v>
      </c>
    </row>
    <row r="7190" spans="35:37">
      <c r="AI7190" s="468">
        <v>49562</v>
      </c>
      <c r="AJ7190" s="5" t="s">
        <v>3579</v>
      </c>
      <c r="AK7190" s="5" t="s">
        <v>3622</v>
      </c>
    </row>
    <row r="7191" spans="35:37">
      <c r="AI7191" s="468">
        <v>49563</v>
      </c>
      <c r="AJ7191" s="5" t="s">
        <v>3624</v>
      </c>
      <c r="AK7191" s="5" t="s">
        <v>3623</v>
      </c>
    </row>
    <row r="7192" spans="35:37">
      <c r="AI7192" s="468">
        <v>49564</v>
      </c>
      <c r="AJ7192" s="5" t="s">
        <v>3626</v>
      </c>
      <c r="AK7192" s="5" t="s">
        <v>3625</v>
      </c>
    </row>
    <row r="7193" spans="35:37">
      <c r="AI7193" s="468">
        <v>49565</v>
      </c>
      <c r="AJ7193" s="5" t="s">
        <v>3628</v>
      </c>
      <c r="AK7193" s="5" t="s">
        <v>3627</v>
      </c>
    </row>
    <row r="7194" spans="35:37">
      <c r="AI7194" s="468">
        <v>49566</v>
      </c>
      <c r="AJ7194" s="5" t="s">
        <v>3617</v>
      </c>
      <c r="AK7194" s="5" t="s">
        <v>3618</v>
      </c>
    </row>
    <row r="7195" spans="35:37">
      <c r="AI7195" s="468">
        <v>49567</v>
      </c>
      <c r="AJ7195" s="5" t="s">
        <v>3619</v>
      </c>
      <c r="AK7195" s="5" t="s">
        <v>3620</v>
      </c>
    </row>
    <row r="7196" spans="35:37">
      <c r="AI7196" s="468">
        <v>49568</v>
      </c>
      <c r="AJ7196" s="5" t="s">
        <v>3621</v>
      </c>
      <c r="AK7196" s="5" t="s">
        <v>3622</v>
      </c>
    </row>
    <row r="7197" spans="35:37">
      <c r="AI7197" s="468">
        <v>49569</v>
      </c>
      <c r="AJ7197" s="5" t="s">
        <v>3579</v>
      </c>
      <c r="AK7197" s="5" t="s">
        <v>3623</v>
      </c>
    </row>
    <row r="7198" spans="35:37">
      <c r="AI7198" s="468">
        <v>49570</v>
      </c>
      <c r="AJ7198" s="5" t="s">
        <v>3624</v>
      </c>
      <c r="AK7198" s="5" t="s">
        <v>3625</v>
      </c>
    </row>
    <row r="7199" spans="35:37">
      <c r="AI7199" s="468">
        <v>49571</v>
      </c>
      <c r="AJ7199" s="5" t="s">
        <v>3626</v>
      </c>
      <c r="AK7199" s="5" t="s">
        <v>3627</v>
      </c>
    </row>
    <row r="7200" spans="35:37">
      <c r="AI7200" s="468">
        <v>49572</v>
      </c>
      <c r="AJ7200" s="5" t="s">
        <v>3628</v>
      </c>
      <c r="AK7200" s="5" t="s">
        <v>3618</v>
      </c>
    </row>
    <row r="7201" spans="35:37">
      <c r="AI7201" s="468">
        <v>49573</v>
      </c>
      <c r="AJ7201" s="5" t="s">
        <v>3617</v>
      </c>
      <c r="AK7201" s="5" t="s">
        <v>3620</v>
      </c>
    </row>
    <row r="7202" spans="35:37">
      <c r="AI7202" s="468">
        <v>49574</v>
      </c>
      <c r="AJ7202" s="5" t="s">
        <v>3619</v>
      </c>
      <c r="AK7202" s="5" t="s">
        <v>3622</v>
      </c>
    </row>
    <row r="7203" spans="35:37">
      <c r="AI7203" s="468">
        <v>49575</v>
      </c>
      <c r="AJ7203" s="5" t="s">
        <v>3621</v>
      </c>
      <c r="AK7203" s="5" t="s">
        <v>3623</v>
      </c>
    </row>
    <row r="7204" spans="35:37">
      <c r="AI7204" s="468">
        <v>49576</v>
      </c>
      <c r="AJ7204" s="5" t="s">
        <v>3579</v>
      </c>
      <c r="AK7204" s="5" t="s">
        <v>3625</v>
      </c>
    </row>
    <row r="7205" spans="35:37">
      <c r="AI7205" s="468">
        <v>49577</v>
      </c>
      <c r="AJ7205" s="5" t="s">
        <v>3624</v>
      </c>
      <c r="AK7205" s="5" t="s">
        <v>3627</v>
      </c>
    </row>
    <row r="7206" spans="35:37">
      <c r="AI7206" s="468">
        <v>49578</v>
      </c>
      <c r="AJ7206" s="5" t="s">
        <v>3626</v>
      </c>
      <c r="AK7206" s="5" t="s">
        <v>3618</v>
      </c>
    </row>
    <row r="7207" spans="35:37">
      <c r="AI7207" s="468">
        <v>49579</v>
      </c>
      <c r="AJ7207" s="5" t="s">
        <v>3628</v>
      </c>
      <c r="AK7207" s="5" t="s">
        <v>3620</v>
      </c>
    </row>
    <row r="7208" spans="35:37">
      <c r="AI7208" s="468">
        <v>49580</v>
      </c>
      <c r="AJ7208" s="5" t="s">
        <v>3617</v>
      </c>
      <c r="AK7208" s="5" t="s">
        <v>3622</v>
      </c>
    </row>
    <row r="7209" spans="35:37">
      <c r="AI7209" s="468">
        <v>49581</v>
      </c>
      <c r="AJ7209" s="5" t="s">
        <v>3619</v>
      </c>
      <c r="AK7209" s="5" t="s">
        <v>3623</v>
      </c>
    </row>
    <row r="7210" spans="35:37">
      <c r="AI7210" s="468">
        <v>49582</v>
      </c>
      <c r="AJ7210" s="5" t="s">
        <v>3621</v>
      </c>
      <c r="AK7210" s="5" t="s">
        <v>3625</v>
      </c>
    </row>
    <row r="7211" spans="35:37">
      <c r="AI7211" s="468">
        <v>49583</v>
      </c>
      <c r="AJ7211" s="5" t="s">
        <v>3579</v>
      </c>
      <c r="AK7211" s="5" t="s">
        <v>3620</v>
      </c>
    </row>
    <row r="7212" spans="35:37">
      <c r="AI7212" s="468">
        <v>49584</v>
      </c>
      <c r="AJ7212" s="5" t="s">
        <v>3624</v>
      </c>
      <c r="AK7212" s="5" t="s">
        <v>3622</v>
      </c>
    </row>
    <row r="7213" spans="35:37">
      <c r="AI7213" s="468">
        <v>49585</v>
      </c>
      <c r="AJ7213" s="5" t="s">
        <v>3626</v>
      </c>
      <c r="AK7213" s="5" t="s">
        <v>3623</v>
      </c>
    </row>
    <row r="7214" spans="35:37">
      <c r="AI7214" s="468">
        <v>49586</v>
      </c>
      <c r="AJ7214" s="5" t="s">
        <v>3628</v>
      </c>
      <c r="AK7214" s="5" t="s">
        <v>3625</v>
      </c>
    </row>
    <row r="7215" spans="35:37">
      <c r="AI7215" s="468">
        <v>49587</v>
      </c>
      <c r="AJ7215" s="5" t="s">
        <v>3617</v>
      </c>
      <c r="AK7215" s="5" t="s">
        <v>3627</v>
      </c>
    </row>
    <row r="7216" spans="35:37">
      <c r="AI7216" s="468">
        <v>49588</v>
      </c>
      <c r="AJ7216" s="5" t="s">
        <v>3619</v>
      </c>
      <c r="AK7216" s="5" t="s">
        <v>3618</v>
      </c>
    </row>
    <row r="7217" spans="35:37">
      <c r="AI7217" s="468">
        <v>49589</v>
      </c>
      <c r="AJ7217" s="5" t="s">
        <v>3621</v>
      </c>
      <c r="AK7217" s="5" t="s">
        <v>3620</v>
      </c>
    </row>
    <row r="7218" spans="35:37">
      <c r="AI7218" s="468">
        <v>49590</v>
      </c>
      <c r="AJ7218" s="5" t="s">
        <v>3579</v>
      </c>
      <c r="AK7218" s="5" t="s">
        <v>3622</v>
      </c>
    </row>
    <row r="7219" spans="35:37">
      <c r="AI7219" s="468">
        <v>49591</v>
      </c>
      <c r="AJ7219" s="5" t="s">
        <v>3624</v>
      </c>
      <c r="AK7219" s="5" t="s">
        <v>3623</v>
      </c>
    </row>
    <row r="7220" spans="35:37">
      <c r="AI7220" s="468">
        <v>49592</v>
      </c>
      <c r="AJ7220" s="5" t="s">
        <v>3626</v>
      </c>
      <c r="AK7220" s="5" t="s">
        <v>3625</v>
      </c>
    </row>
    <row r="7221" spans="35:37">
      <c r="AI7221" s="468">
        <v>49593</v>
      </c>
      <c r="AJ7221" s="5" t="s">
        <v>3628</v>
      </c>
      <c r="AK7221" s="5" t="s">
        <v>3627</v>
      </c>
    </row>
    <row r="7222" spans="35:37">
      <c r="AI7222" s="468">
        <v>49594</v>
      </c>
      <c r="AJ7222" s="5" t="s">
        <v>3617</v>
      </c>
      <c r="AK7222" s="5" t="s">
        <v>3618</v>
      </c>
    </row>
    <row r="7223" spans="35:37">
      <c r="AI7223" s="468">
        <v>49595</v>
      </c>
      <c r="AJ7223" s="5" t="s">
        <v>3619</v>
      </c>
      <c r="AK7223" s="5" t="s">
        <v>3620</v>
      </c>
    </row>
    <row r="7224" spans="35:37">
      <c r="AI7224" s="468">
        <v>49596</v>
      </c>
      <c r="AJ7224" s="5" t="s">
        <v>3621</v>
      </c>
      <c r="AK7224" s="5" t="s">
        <v>3622</v>
      </c>
    </row>
    <row r="7225" spans="35:37">
      <c r="AI7225" s="468">
        <v>49597</v>
      </c>
      <c r="AJ7225" s="5" t="s">
        <v>3579</v>
      </c>
      <c r="AK7225" s="5" t="s">
        <v>3623</v>
      </c>
    </row>
    <row r="7226" spans="35:37">
      <c r="AI7226" s="468">
        <v>49598</v>
      </c>
      <c r="AJ7226" s="5" t="s">
        <v>3624</v>
      </c>
      <c r="AK7226" s="5" t="s">
        <v>3625</v>
      </c>
    </row>
    <row r="7227" spans="35:37">
      <c r="AI7227" s="468">
        <v>49599</v>
      </c>
      <c r="AJ7227" s="5" t="s">
        <v>3626</v>
      </c>
      <c r="AK7227" s="5" t="s">
        <v>3627</v>
      </c>
    </row>
    <row r="7228" spans="35:37">
      <c r="AI7228" s="468">
        <v>49600</v>
      </c>
      <c r="AJ7228" s="5" t="s">
        <v>3628</v>
      </c>
      <c r="AK7228" s="5" t="s">
        <v>3618</v>
      </c>
    </row>
    <row r="7229" spans="35:37">
      <c r="AI7229" s="468">
        <v>49601</v>
      </c>
      <c r="AJ7229" s="5" t="s">
        <v>3617</v>
      </c>
      <c r="AK7229" s="5" t="s">
        <v>3620</v>
      </c>
    </row>
    <row r="7230" spans="35:37">
      <c r="AI7230" s="468">
        <v>49602</v>
      </c>
      <c r="AJ7230" s="5" t="s">
        <v>3619</v>
      </c>
      <c r="AK7230" s="5" t="s">
        <v>3622</v>
      </c>
    </row>
    <row r="7231" spans="35:37">
      <c r="AI7231" s="468">
        <v>49603</v>
      </c>
      <c r="AJ7231" s="5" t="s">
        <v>3621</v>
      </c>
      <c r="AK7231" s="5" t="s">
        <v>3623</v>
      </c>
    </row>
    <row r="7232" spans="35:37">
      <c r="AI7232" s="468">
        <v>49604</v>
      </c>
      <c r="AJ7232" s="5" t="s">
        <v>3579</v>
      </c>
      <c r="AK7232" s="5" t="s">
        <v>3625</v>
      </c>
    </row>
    <row r="7233" spans="35:37">
      <c r="AI7233" s="468">
        <v>49605</v>
      </c>
      <c r="AJ7233" s="5" t="s">
        <v>3624</v>
      </c>
      <c r="AK7233" s="5" t="s">
        <v>3627</v>
      </c>
    </row>
    <row r="7234" spans="35:37">
      <c r="AI7234" s="468">
        <v>49606</v>
      </c>
      <c r="AJ7234" s="5" t="s">
        <v>3626</v>
      </c>
      <c r="AK7234" s="5" t="s">
        <v>3618</v>
      </c>
    </row>
    <row r="7235" spans="35:37">
      <c r="AI7235" s="468">
        <v>49607</v>
      </c>
      <c r="AJ7235" s="5" t="s">
        <v>3628</v>
      </c>
      <c r="AK7235" s="5" t="s">
        <v>3620</v>
      </c>
    </row>
    <row r="7236" spans="35:37">
      <c r="AI7236" s="468">
        <v>49608</v>
      </c>
      <c r="AJ7236" s="5" t="s">
        <v>3617</v>
      </c>
      <c r="AK7236" s="5" t="s">
        <v>3622</v>
      </c>
    </row>
    <row r="7237" spans="35:37">
      <c r="AI7237" s="468">
        <v>49609</v>
      </c>
      <c r="AJ7237" s="5" t="s">
        <v>3619</v>
      </c>
      <c r="AK7237" s="5" t="s">
        <v>3623</v>
      </c>
    </row>
    <row r="7238" spans="35:37">
      <c r="AI7238" s="468">
        <v>49610</v>
      </c>
      <c r="AJ7238" s="5" t="s">
        <v>3621</v>
      </c>
      <c r="AK7238" s="5" t="s">
        <v>3625</v>
      </c>
    </row>
    <row r="7239" spans="35:37">
      <c r="AI7239" s="468">
        <v>49611</v>
      </c>
      <c r="AJ7239" s="5" t="s">
        <v>3579</v>
      </c>
      <c r="AK7239" s="5" t="s">
        <v>3627</v>
      </c>
    </row>
    <row r="7240" spans="35:37">
      <c r="AI7240" s="468">
        <v>49612</v>
      </c>
      <c r="AJ7240" s="5" t="s">
        <v>3624</v>
      </c>
      <c r="AK7240" s="5" t="s">
        <v>3618</v>
      </c>
    </row>
    <row r="7241" spans="35:37">
      <c r="AI7241" s="468">
        <v>49613</v>
      </c>
      <c r="AJ7241" s="5" t="s">
        <v>3626</v>
      </c>
      <c r="AK7241" s="5" t="s">
        <v>3622</v>
      </c>
    </row>
    <row r="7242" spans="35:37">
      <c r="AI7242" s="468">
        <v>49614</v>
      </c>
      <c r="AJ7242" s="5" t="s">
        <v>3628</v>
      </c>
      <c r="AK7242" s="5" t="s">
        <v>3623</v>
      </c>
    </row>
    <row r="7243" spans="35:37">
      <c r="AI7243" s="468">
        <v>49615</v>
      </c>
      <c r="AJ7243" s="5" t="s">
        <v>3617</v>
      </c>
      <c r="AK7243" s="5" t="s">
        <v>3625</v>
      </c>
    </row>
    <row r="7244" spans="35:37">
      <c r="AI7244" s="468">
        <v>49616</v>
      </c>
      <c r="AJ7244" s="5" t="s">
        <v>3619</v>
      </c>
      <c r="AK7244" s="5" t="s">
        <v>3627</v>
      </c>
    </row>
    <row r="7245" spans="35:37">
      <c r="AI7245" s="468">
        <v>49617</v>
      </c>
      <c r="AJ7245" s="5" t="s">
        <v>3621</v>
      </c>
      <c r="AK7245" s="5" t="s">
        <v>3618</v>
      </c>
    </row>
    <row r="7246" spans="35:37">
      <c r="AI7246" s="468">
        <v>49618</v>
      </c>
      <c r="AJ7246" s="5" t="s">
        <v>3579</v>
      </c>
      <c r="AK7246" s="5" t="s">
        <v>3620</v>
      </c>
    </row>
    <row r="7247" spans="35:37">
      <c r="AI7247" s="468">
        <v>49619</v>
      </c>
      <c r="AJ7247" s="5" t="s">
        <v>3624</v>
      </c>
      <c r="AK7247" s="5" t="s">
        <v>3622</v>
      </c>
    </row>
    <row r="7248" spans="35:37">
      <c r="AI7248" s="468">
        <v>49620</v>
      </c>
      <c r="AJ7248" s="5" t="s">
        <v>3626</v>
      </c>
      <c r="AK7248" s="5" t="s">
        <v>3623</v>
      </c>
    </row>
    <row r="7249" spans="35:37">
      <c r="AI7249" s="468">
        <v>49621</v>
      </c>
      <c r="AJ7249" s="5" t="s">
        <v>3628</v>
      </c>
      <c r="AK7249" s="5" t="s">
        <v>3625</v>
      </c>
    </row>
    <row r="7250" spans="35:37">
      <c r="AI7250" s="468">
        <v>49622</v>
      </c>
      <c r="AJ7250" s="5" t="s">
        <v>3617</v>
      </c>
      <c r="AK7250" s="5" t="s">
        <v>3627</v>
      </c>
    </row>
    <row r="7251" spans="35:37">
      <c r="AI7251" s="468">
        <v>49623</v>
      </c>
      <c r="AJ7251" s="5" t="s">
        <v>3619</v>
      </c>
      <c r="AK7251" s="5" t="s">
        <v>3618</v>
      </c>
    </row>
    <row r="7252" spans="35:37">
      <c r="AI7252" s="468">
        <v>49624</v>
      </c>
      <c r="AJ7252" s="5" t="s">
        <v>3621</v>
      </c>
      <c r="AK7252" s="5" t="s">
        <v>3620</v>
      </c>
    </row>
    <row r="7253" spans="35:37">
      <c r="AI7253" s="468">
        <v>49625</v>
      </c>
      <c r="AJ7253" s="5" t="s">
        <v>3579</v>
      </c>
      <c r="AK7253" s="5" t="s">
        <v>3622</v>
      </c>
    </row>
    <row r="7254" spans="35:37">
      <c r="AI7254" s="468">
        <v>49626</v>
      </c>
      <c r="AJ7254" s="5" t="s">
        <v>3624</v>
      </c>
      <c r="AK7254" s="5" t="s">
        <v>3623</v>
      </c>
    </row>
    <row r="7255" spans="35:37">
      <c r="AI7255" s="468">
        <v>49627</v>
      </c>
      <c r="AJ7255" s="5" t="s">
        <v>3626</v>
      </c>
      <c r="AK7255" s="5" t="s">
        <v>3625</v>
      </c>
    </row>
    <row r="7256" spans="35:37">
      <c r="AI7256" s="468">
        <v>49628</v>
      </c>
      <c r="AJ7256" s="5" t="s">
        <v>3628</v>
      </c>
      <c r="AK7256" s="5" t="s">
        <v>3627</v>
      </c>
    </row>
    <row r="7257" spans="35:37">
      <c r="AI7257" s="468">
        <v>49629</v>
      </c>
      <c r="AJ7257" s="5" t="s">
        <v>3617</v>
      </c>
      <c r="AK7257" s="5" t="s">
        <v>3618</v>
      </c>
    </row>
    <row r="7258" spans="35:37">
      <c r="AI7258" s="468">
        <v>49630</v>
      </c>
      <c r="AJ7258" s="5" t="s">
        <v>3619</v>
      </c>
      <c r="AK7258" s="5" t="s">
        <v>3620</v>
      </c>
    </row>
    <row r="7259" spans="35:37">
      <c r="AI7259" s="468">
        <v>49631</v>
      </c>
      <c r="AJ7259" s="5" t="s">
        <v>3621</v>
      </c>
      <c r="AK7259" s="5" t="s">
        <v>3622</v>
      </c>
    </row>
    <row r="7260" spans="35:37">
      <c r="AI7260" s="468">
        <v>49632</v>
      </c>
      <c r="AJ7260" s="5" t="s">
        <v>3579</v>
      </c>
      <c r="AK7260" s="5" t="s">
        <v>3623</v>
      </c>
    </row>
    <row r="7261" spans="35:37">
      <c r="AI7261" s="468">
        <v>49633</v>
      </c>
      <c r="AJ7261" s="5" t="s">
        <v>3624</v>
      </c>
      <c r="AK7261" s="5" t="s">
        <v>3625</v>
      </c>
    </row>
    <row r="7262" spans="35:37">
      <c r="AI7262" s="468">
        <v>49634</v>
      </c>
      <c r="AJ7262" s="5" t="s">
        <v>3626</v>
      </c>
      <c r="AK7262" s="5" t="s">
        <v>3627</v>
      </c>
    </row>
    <row r="7263" spans="35:37">
      <c r="AI7263" s="468">
        <v>49635</v>
      </c>
      <c r="AJ7263" s="5" t="s">
        <v>3628</v>
      </c>
      <c r="AK7263" s="5" t="s">
        <v>3618</v>
      </c>
    </row>
    <row r="7264" spans="35:37">
      <c r="AI7264" s="468">
        <v>49636</v>
      </c>
      <c r="AJ7264" s="5" t="s">
        <v>3617</v>
      </c>
      <c r="AK7264" s="5" t="s">
        <v>3620</v>
      </c>
    </row>
    <row r="7265" spans="35:37">
      <c r="AI7265" s="468">
        <v>49637</v>
      </c>
      <c r="AJ7265" s="5" t="s">
        <v>3619</v>
      </c>
      <c r="AK7265" s="5" t="s">
        <v>3622</v>
      </c>
    </row>
    <row r="7266" spans="35:37">
      <c r="AI7266" s="468">
        <v>49638</v>
      </c>
      <c r="AJ7266" s="5" t="s">
        <v>3621</v>
      </c>
      <c r="AK7266" s="5" t="s">
        <v>3623</v>
      </c>
    </row>
    <row r="7267" spans="35:37">
      <c r="AI7267" s="468">
        <v>49639</v>
      </c>
      <c r="AJ7267" s="5" t="s">
        <v>3579</v>
      </c>
      <c r="AK7267" s="5" t="s">
        <v>3625</v>
      </c>
    </row>
    <row r="7268" spans="35:37">
      <c r="AI7268" s="468">
        <v>49640</v>
      </c>
      <c r="AJ7268" s="5" t="s">
        <v>3624</v>
      </c>
      <c r="AK7268" s="5" t="s">
        <v>3627</v>
      </c>
    </row>
    <row r="7269" spans="35:37">
      <c r="AI7269" s="468">
        <v>49641</v>
      </c>
      <c r="AJ7269" s="5" t="s">
        <v>3626</v>
      </c>
      <c r="AK7269" s="5" t="s">
        <v>3618</v>
      </c>
    </row>
    <row r="7270" spans="35:37">
      <c r="AI7270" s="468">
        <v>49642</v>
      </c>
      <c r="AJ7270" s="5" t="s">
        <v>3628</v>
      </c>
      <c r="AK7270" s="5" t="s">
        <v>3620</v>
      </c>
    </row>
    <row r="7271" spans="35:37">
      <c r="AI7271" s="468">
        <v>49643</v>
      </c>
      <c r="AJ7271" s="5" t="s">
        <v>3617</v>
      </c>
      <c r="AK7271" s="5" t="s">
        <v>3623</v>
      </c>
    </row>
    <row r="7272" spans="35:37">
      <c r="AI7272" s="468">
        <v>49644</v>
      </c>
      <c r="AJ7272" s="5" t="s">
        <v>3619</v>
      </c>
      <c r="AK7272" s="5" t="s">
        <v>3625</v>
      </c>
    </row>
    <row r="7273" spans="35:37">
      <c r="AI7273" s="468">
        <v>49645</v>
      </c>
      <c r="AJ7273" s="5" t="s">
        <v>3621</v>
      </c>
      <c r="AK7273" s="5" t="s">
        <v>3627</v>
      </c>
    </row>
    <row r="7274" spans="35:37">
      <c r="AI7274" s="468">
        <v>49646</v>
      </c>
      <c r="AJ7274" s="5" t="s">
        <v>3579</v>
      </c>
      <c r="AK7274" s="5" t="s">
        <v>3618</v>
      </c>
    </row>
    <row r="7275" spans="35:37">
      <c r="AI7275" s="468">
        <v>49647</v>
      </c>
      <c r="AJ7275" s="5" t="s">
        <v>3624</v>
      </c>
      <c r="AK7275" s="5" t="s">
        <v>3620</v>
      </c>
    </row>
    <row r="7276" spans="35:37">
      <c r="AI7276" s="468">
        <v>49648</v>
      </c>
      <c r="AJ7276" s="5" t="s">
        <v>3626</v>
      </c>
      <c r="AK7276" s="5" t="s">
        <v>3622</v>
      </c>
    </row>
    <row r="7277" spans="35:37">
      <c r="AI7277" s="468">
        <v>49649</v>
      </c>
      <c r="AJ7277" s="5" t="s">
        <v>3628</v>
      </c>
      <c r="AK7277" s="5" t="s">
        <v>3623</v>
      </c>
    </row>
    <row r="7278" spans="35:37">
      <c r="AI7278" s="468">
        <v>49650</v>
      </c>
      <c r="AJ7278" s="5" t="s">
        <v>3617</v>
      </c>
      <c r="AK7278" s="5" t="s">
        <v>3625</v>
      </c>
    </row>
    <row r="7279" spans="35:37">
      <c r="AI7279" s="468">
        <v>49651</v>
      </c>
      <c r="AJ7279" s="5" t="s">
        <v>3619</v>
      </c>
      <c r="AK7279" s="5" t="s">
        <v>3627</v>
      </c>
    </row>
    <row r="7280" spans="35:37">
      <c r="AI7280" s="468">
        <v>49652</v>
      </c>
      <c r="AJ7280" s="5" t="s">
        <v>3621</v>
      </c>
      <c r="AK7280" s="5" t="s">
        <v>3618</v>
      </c>
    </row>
    <row r="7281" spans="35:37">
      <c r="AI7281" s="468">
        <v>49653</v>
      </c>
      <c r="AJ7281" s="5" t="s">
        <v>3579</v>
      </c>
      <c r="AK7281" s="5" t="s">
        <v>3620</v>
      </c>
    </row>
    <row r="7282" spans="35:37">
      <c r="AI7282" s="468">
        <v>49654</v>
      </c>
      <c r="AJ7282" s="5" t="s">
        <v>3624</v>
      </c>
      <c r="AK7282" s="5" t="s">
        <v>3622</v>
      </c>
    </row>
    <row r="7283" spans="35:37">
      <c r="AI7283" s="468">
        <v>49655</v>
      </c>
      <c r="AJ7283" s="5" t="s">
        <v>3626</v>
      </c>
      <c r="AK7283" s="5" t="s">
        <v>3623</v>
      </c>
    </row>
    <row r="7284" spans="35:37">
      <c r="AI7284" s="468">
        <v>49656</v>
      </c>
      <c r="AJ7284" s="5" t="s">
        <v>3628</v>
      </c>
      <c r="AK7284" s="5" t="s">
        <v>3625</v>
      </c>
    </row>
    <row r="7285" spans="35:37">
      <c r="AI7285" s="468">
        <v>49657</v>
      </c>
      <c r="AJ7285" s="5" t="s">
        <v>3617</v>
      </c>
      <c r="AK7285" s="5" t="s">
        <v>3627</v>
      </c>
    </row>
    <row r="7286" spans="35:37">
      <c r="AI7286" s="468">
        <v>49658</v>
      </c>
      <c r="AJ7286" s="5" t="s">
        <v>3619</v>
      </c>
      <c r="AK7286" s="5" t="s">
        <v>3618</v>
      </c>
    </row>
    <row r="7287" spans="35:37">
      <c r="AI7287" s="468">
        <v>49659</v>
      </c>
      <c r="AJ7287" s="5" t="s">
        <v>3621</v>
      </c>
      <c r="AK7287" s="5" t="s">
        <v>3620</v>
      </c>
    </row>
    <row r="7288" spans="35:37">
      <c r="AI7288" s="468">
        <v>49660</v>
      </c>
      <c r="AJ7288" s="5" t="s">
        <v>3579</v>
      </c>
      <c r="AK7288" s="5" t="s">
        <v>3622</v>
      </c>
    </row>
    <row r="7289" spans="35:37">
      <c r="AI7289" s="468">
        <v>49661</v>
      </c>
      <c r="AJ7289" s="5" t="s">
        <v>3624</v>
      </c>
      <c r="AK7289" s="5" t="s">
        <v>3623</v>
      </c>
    </row>
    <row r="7290" spans="35:37">
      <c r="AI7290" s="468">
        <v>49662</v>
      </c>
      <c r="AJ7290" s="5" t="s">
        <v>3626</v>
      </c>
      <c r="AK7290" s="5" t="s">
        <v>3625</v>
      </c>
    </row>
    <row r="7291" spans="35:37">
      <c r="AI7291" s="468">
        <v>49663</v>
      </c>
      <c r="AJ7291" s="5" t="s">
        <v>3628</v>
      </c>
      <c r="AK7291" s="5" t="s">
        <v>3627</v>
      </c>
    </row>
    <row r="7292" spans="35:37">
      <c r="AI7292" s="468">
        <v>49664</v>
      </c>
      <c r="AJ7292" s="5" t="s">
        <v>3617</v>
      </c>
      <c r="AK7292" s="5" t="s">
        <v>3618</v>
      </c>
    </row>
    <row r="7293" spans="35:37">
      <c r="AI7293" s="468">
        <v>49665</v>
      </c>
      <c r="AJ7293" s="5" t="s">
        <v>3619</v>
      </c>
      <c r="AK7293" s="5" t="s">
        <v>3620</v>
      </c>
    </row>
    <row r="7294" spans="35:37">
      <c r="AI7294" s="468">
        <v>49666</v>
      </c>
      <c r="AJ7294" s="5" t="s">
        <v>3621</v>
      </c>
      <c r="AK7294" s="5" t="s">
        <v>3622</v>
      </c>
    </row>
    <row r="7295" spans="35:37">
      <c r="AI7295" s="468">
        <v>49667</v>
      </c>
      <c r="AJ7295" s="5" t="s">
        <v>3579</v>
      </c>
      <c r="AK7295" s="5" t="s">
        <v>3623</v>
      </c>
    </row>
    <row r="7296" spans="35:37">
      <c r="AI7296" s="468">
        <v>49668</v>
      </c>
      <c r="AJ7296" s="5" t="s">
        <v>3624</v>
      </c>
      <c r="AK7296" s="5" t="s">
        <v>3625</v>
      </c>
    </row>
    <row r="7297" spans="35:37">
      <c r="AI7297" s="468">
        <v>49669</v>
      </c>
      <c r="AJ7297" s="5" t="s">
        <v>3626</v>
      </c>
      <c r="AK7297" s="5" t="s">
        <v>3627</v>
      </c>
    </row>
    <row r="7298" spans="35:37">
      <c r="AI7298" s="468">
        <v>49670</v>
      </c>
      <c r="AJ7298" s="5" t="s">
        <v>3628</v>
      </c>
      <c r="AK7298" s="5" t="s">
        <v>3618</v>
      </c>
    </row>
    <row r="7299" spans="35:37">
      <c r="AI7299" s="468">
        <v>49671</v>
      </c>
      <c r="AJ7299" s="5" t="s">
        <v>3617</v>
      </c>
      <c r="AK7299" s="5" t="s">
        <v>3620</v>
      </c>
    </row>
    <row r="7300" spans="35:37">
      <c r="AI7300" s="468">
        <v>49672</v>
      </c>
      <c r="AJ7300" s="5" t="s">
        <v>3619</v>
      </c>
      <c r="AK7300" s="5" t="s">
        <v>3625</v>
      </c>
    </row>
    <row r="7301" spans="35:37">
      <c r="AI7301" s="468">
        <v>49673</v>
      </c>
      <c r="AJ7301" s="5" t="s">
        <v>3621</v>
      </c>
      <c r="AK7301" s="5" t="s">
        <v>3627</v>
      </c>
    </row>
    <row r="7302" spans="35:37">
      <c r="AI7302" s="468">
        <v>49674</v>
      </c>
      <c r="AJ7302" s="5" t="s">
        <v>3579</v>
      </c>
      <c r="AK7302" s="5" t="s">
        <v>3618</v>
      </c>
    </row>
    <row r="7303" spans="35:37">
      <c r="AI7303" s="468">
        <v>49675</v>
      </c>
      <c r="AJ7303" s="5" t="s">
        <v>3624</v>
      </c>
      <c r="AK7303" s="5" t="s">
        <v>3620</v>
      </c>
    </row>
    <row r="7304" spans="35:37">
      <c r="AI7304" s="468">
        <v>49676</v>
      </c>
      <c r="AJ7304" s="5" t="s">
        <v>3626</v>
      </c>
      <c r="AK7304" s="5" t="s">
        <v>3622</v>
      </c>
    </row>
    <row r="7305" spans="35:37">
      <c r="AI7305" s="468">
        <v>49677</v>
      </c>
      <c r="AJ7305" s="5" t="s">
        <v>3628</v>
      </c>
      <c r="AK7305" s="5" t="s">
        <v>3623</v>
      </c>
    </row>
    <row r="7306" spans="35:37">
      <c r="AI7306" s="468">
        <v>49678</v>
      </c>
      <c r="AJ7306" s="5" t="s">
        <v>3617</v>
      </c>
      <c r="AK7306" s="5" t="s">
        <v>3625</v>
      </c>
    </row>
    <row r="7307" spans="35:37">
      <c r="AI7307" s="468">
        <v>49679</v>
      </c>
      <c r="AJ7307" s="5" t="s">
        <v>3619</v>
      </c>
      <c r="AK7307" s="5" t="s">
        <v>3627</v>
      </c>
    </row>
    <row r="7308" spans="35:37">
      <c r="AI7308" s="468">
        <v>49680</v>
      </c>
      <c r="AJ7308" s="5" t="s">
        <v>3621</v>
      </c>
      <c r="AK7308" s="5" t="s">
        <v>3618</v>
      </c>
    </row>
    <row r="7309" spans="35:37">
      <c r="AI7309" s="468">
        <v>49681</v>
      </c>
      <c r="AJ7309" s="5" t="s">
        <v>3579</v>
      </c>
      <c r="AK7309" s="5" t="s">
        <v>3620</v>
      </c>
    </row>
    <row r="7310" spans="35:37">
      <c r="AI7310" s="468">
        <v>49682</v>
      </c>
      <c r="AJ7310" s="5" t="s">
        <v>3624</v>
      </c>
      <c r="AK7310" s="5" t="s">
        <v>3622</v>
      </c>
    </row>
    <row r="7311" spans="35:37">
      <c r="AI7311" s="468">
        <v>49683</v>
      </c>
      <c r="AJ7311" s="5" t="s">
        <v>3626</v>
      </c>
      <c r="AK7311" s="5" t="s">
        <v>3623</v>
      </c>
    </row>
    <row r="7312" spans="35:37">
      <c r="AI7312" s="468">
        <v>49684</v>
      </c>
      <c r="AJ7312" s="5" t="s">
        <v>3628</v>
      </c>
      <c r="AK7312" s="5" t="s">
        <v>3625</v>
      </c>
    </row>
    <row r="7313" spans="35:37">
      <c r="AI7313" s="468">
        <v>49685</v>
      </c>
      <c r="AJ7313" s="5" t="s">
        <v>3617</v>
      </c>
      <c r="AK7313" s="5" t="s">
        <v>3627</v>
      </c>
    </row>
    <row r="7314" spans="35:37">
      <c r="AI7314" s="468">
        <v>49686</v>
      </c>
      <c r="AJ7314" s="5" t="s">
        <v>3619</v>
      </c>
      <c r="AK7314" s="5" t="s">
        <v>3618</v>
      </c>
    </row>
    <row r="7315" spans="35:37">
      <c r="AI7315" s="468">
        <v>49687</v>
      </c>
      <c r="AJ7315" s="5" t="s">
        <v>3621</v>
      </c>
      <c r="AK7315" s="5" t="s">
        <v>3620</v>
      </c>
    </row>
    <row r="7316" spans="35:37">
      <c r="AI7316" s="468">
        <v>49688</v>
      </c>
      <c r="AJ7316" s="5" t="s">
        <v>3579</v>
      </c>
      <c r="AK7316" s="5" t="s">
        <v>3622</v>
      </c>
    </row>
    <row r="7317" spans="35:37">
      <c r="AI7317" s="468">
        <v>49689</v>
      </c>
      <c r="AJ7317" s="5" t="s">
        <v>3624</v>
      </c>
      <c r="AK7317" s="5" t="s">
        <v>3623</v>
      </c>
    </row>
    <row r="7318" spans="35:37">
      <c r="AI7318" s="468">
        <v>49690</v>
      </c>
      <c r="AJ7318" s="5" t="s">
        <v>3626</v>
      </c>
      <c r="AK7318" s="5" t="s">
        <v>3625</v>
      </c>
    </row>
    <row r="7319" spans="35:37">
      <c r="AI7319" s="468">
        <v>49691</v>
      </c>
      <c r="AJ7319" s="5" t="s">
        <v>3628</v>
      </c>
      <c r="AK7319" s="5" t="s">
        <v>3627</v>
      </c>
    </row>
    <row r="7320" spans="35:37">
      <c r="AI7320" s="468">
        <v>49692</v>
      </c>
      <c r="AJ7320" s="5" t="s">
        <v>3617</v>
      </c>
      <c r="AK7320" s="5" t="s">
        <v>3618</v>
      </c>
    </row>
    <row r="7321" spans="35:37">
      <c r="AI7321" s="468">
        <v>49693</v>
      </c>
      <c r="AJ7321" s="5" t="s">
        <v>3619</v>
      </c>
      <c r="AK7321" s="5" t="s">
        <v>3620</v>
      </c>
    </row>
    <row r="7322" spans="35:37">
      <c r="AI7322" s="468">
        <v>49694</v>
      </c>
      <c r="AJ7322" s="5" t="s">
        <v>3621</v>
      </c>
      <c r="AK7322" s="5" t="s">
        <v>3622</v>
      </c>
    </row>
    <row r="7323" spans="35:37">
      <c r="AI7323" s="468">
        <v>49695</v>
      </c>
      <c r="AJ7323" s="5" t="s">
        <v>3579</v>
      </c>
      <c r="AK7323" s="5" t="s">
        <v>3623</v>
      </c>
    </row>
    <row r="7324" spans="35:37">
      <c r="AI7324" s="468">
        <v>49696</v>
      </c>
      <c r="AJ7324" s="5" t="s">
        <v>3624</v>
      </c>
      <c r="AK7324" s="5" t="s">
        <v>3625</v>
      </c>
    </row>
    <row r="7325" spans="35:37">
      <c r="AI7325" s="468">
        <v>49697</v>
      </c>
      <c r="AJ7325" s="5" t="s">
        <v>3626</v>
      </c>
      <c r="AK7325" s="5" t="s">
        <v>3627</v>
      </c>
    </row>
    <row r="7326" spans="35:37">
      <c r="AI7326" s="468">
        <v>49698</v>
      </c>
      <c r="AJ7326" s="5" t="s">
        <v>3628</v>
      </c>
      <c r="AK7326" s="5" t="s">
        <v>3618</v>
      </c>
    </row>
    <row r="7327" spans="35:37">
      <c r="AI7327" s="468">
        <v>49699</v>
      </c>
      <c r="AJ7327" s="5" t="s">
        <v>3617</v>
      </c>
      <c r="AK7327" s="5" t="s">
        <v>3620</v>
      </c>
    </row>
    <row r="7328" spans="35:37">
      <c r="AI7328" s="468">
        <v>49700</v>
      </c>
      <c r="AJ7328" s="5" t="s">
        <v>3619</v>
      </c>
      <c r="AK7328" s="5" t="s">
        <v>3622</v>
      </c>
    </row>
    <row r="7329" spans="35:37">
      <c r="AI7329" s="468">
        <v>49701</v>
      </c>
      <c r="AJ7329" s="5" t="s">
        <v>3621</v>
      </c>
      <c r="AK7329" s="5" t="s">
        <v>3623</v>
      </c>
    </row>
    <row r="7330" spans="35:37">
      <c r="AI7330" s="468">
        <v>49702</v>
      </c>
      <c r="AJ7330" s="5" t="s">
        <v>3579</v>
      </c>
      <c r="AK7330" s="5" t="s">
        <v>3627</v>
      </c>
    </row>
    <row r="7331" spans="35:37">
      <c r="AI7331" s="468">
        <v>49703</v>
      </c>
      <c r="AJ7331" s="5" t="s">
        <v>3624</v>
      </c>
      <c r="AK7331" s="5" t="s">
        <v>3618</v>
      </c>
    </row>
    <row r="7332" spans="35:37">
      <c r="AI7332" s="468">
        <v>49704</v>
      </c>
      <c r="AJ7332" s="5" t="s">
        <v>3626</v>
      </c>
      <c r="AK7332" s="5" t="s">
        <v>3620</v>
      </c>
    </row>
    <row r="7333" spans="35:37">
      <c r="AI7333" s="468">
        <v>49705</v>
      </c>
      <c r="AJ7333" s="5" t="s">
        <v>3628</v>
      </c>
      <c r="AK7333" s="5" t="s">
        <v>3622</v>
      </c>
    </row>
    <row r="7334" spans="35:37">
      <c r="AI7334" s="468">
        <v>49706</v>
      </c>
      <c r="AJ7334" s="5" t="s">
        <v>3617</v>
      </c>
      <c r="AK7334" s="5" t="s">
        <v>3623</v>
      </c>
    </row>
    <row r="7335" spans="35:37">
      <c r="AI7335" s="468">
        <v>49707</v>
      </c>
      <c r="AJ7335" s="5" t="s">
        <v>3619</v>
      </c>
      <c r="AK7335" s="5" t="s">
        <v>3625</v>
      </c>
    </row>
    <row r="7336" spans="35:37">
      <c r="AI7336" s="468">
        <v>49708</v>
      </c>
      <c r="AJ7336" s="5" t="s">
        <v>3621</v>
      </c>
      <c r="AK7336" s="5" t="s">
        <v>3627</v>
      </c>
    </row>
    <row r="7337" spans="35:37">
      <c r="AI7337" s="468">
        <v>49709</v>
      </c>
      <c r="AJ7337" s="5" t="s">
        <v>3579</v>
      </c>
      <c r="AK7337" s="5" t="s">
        <v>3618</v>
      </c>
    </row>
    <row r="7338" spans="35:37">
      <c r="AI7338" s="468">
        <v>49710</v>
      </c>
      <c r="AJ7338" s="5" t="s">
        <v>3624</v>
      </c>
      <c r="AK7338" s="5" t="s">
        <v>3620</v>
      </c>
    </row>
    <row r="7339" spans="35:37">
      <c r="AI7339" s="468">
        <v>49711</v>
      </c>
      <c r="AJ7339" s="5" t="s">
        <v>3626</v>
      </c>
      <c r="AK7339" s="5" t="s">
        <v>3622</v>
      </c>
    </row>
    <row r="7340" spans="35:37">
      <c r="AI7340" s="468">
        <v>49712</v>
      </c>
      <c r="AJ7340" s="5" t="s">
        <v>3628</v>
      </c>
      <c r="AK7340" s="5" t="s">
        <v>3623</v>
      </c>
    </row>
    <row r="7341" spans="35:37">
      <c r="AI7341" s="468">
        <v>49713</v>
      </c>
      <c r="AJ7341" s="5" t="s">
        <v>3617</v>
      </c>
      <c r="AK7341" s="5" t="s">
        <v>3625</v>
      </c>
    </row>
    <row r="7342" spans="35:37">
      <c r="AI7342" s="468">
        <v>49714</v>
      </c>
      <c r="AJ7342" s="5" t="s">
        <v>3619</v>
      </c>
      <c r="AK7342" s="5" t="s">
        <v>3627</v>
      </c>
    </row>
    <row r="7343" spans="35:37">
      <c r="AI7343" s="468">
        <v>49715</v>
      </c>
      <c r="AJ7343" s="5" t="s">
        <v>3621</v>
      </c>
      <c r="AK7343" s="5" t="s">
        <v>3618</v>
      </c>
    </row>
    <row r="7344" spans="35:37">
      <c r="AI7344" s="468">
        <v>49716</v>
      </c>
      <c r="AJ7344" s="5" t="s">
        <v>3579</v>
      </c>
      <c r="AK7344" s="5" t="s">
        <v>3620</v>
      </c>
    </row>
    <row r="7345" spans="35:37">
      <c r="AI7345" s="468">
        <v>49717</v>
      </c>
      <c r="AJ7345" s="5" t="s">
        <v>3624</v>
      </c>
      <c r="AK7345" s="5" t="s">
        <v>3622</v>
      </c>
    </row>
    <row r="7346" spans="35:37">
      <c r="AI7346" s="468">
        <v>49718</v>
      </c>
      <c r="AJ7346" s="5" t="s">
        <v>3626</v>
      </c>
      <c r="AK7346" s="5" t="s">
        <v>3623</v>
      </c>
    </row>
    <row r="7347" spans="35:37">
      <c r="AI7347" s="468">
        <v>49719</v>
      </c>
      <c r="AJ7347" s="5" t="s">
        <v>3628</v>
      </c>
      <c r="AK7347" s="5" t="s">
        <v>3625</v>
      </c>
    </row>
    <row r="7348" spans="35:37">
      <c r="AI7348" s="468">
        <v>49720</v>
      </c>
      <c r="AJ7348" s="5" t="s">
        <v>3617</v>
      </c>
      <c r="AK7348" s="5" t="s">
        <v>3627</v>
      </c>
    </row>
    <row r="7349" spans="35:37">
      <c r="AI7349" s="468">
        <v>49721</v>
      </c>
      <c r="AJ7349" s="5" t="s">
        <v>3619</v>
      </c>
      <c r="AK7349" s="5" t="s">
        <v>3618</v>
      </c>
    </row>
    <row r="7350" spans="35:37">
      <c r="AI7350" s="468">
        <v>49722</v>
      </c>
      <c r="AJ7350" s="5" t="s">
        <v>3621</v>
      </c>
      <c r="AK7350" s="5" t="s">
        <v>3620</v>
      </c>
    </row>
    <row r="7351" spans="35:37">
      <c r="AI7351" s="468">
        <v>49723</v>
      </c>
      <c r="AJ7351" s="5" t="s">
        <v>3579</v>
      </c>
      <c r="AK7351" s="5" t="s">
        <v>3622</v>
      </c>
    </row>
    <row r="7352" spans="35:37">
      <c r="AI7352" s="468">
        <v>49724</v>
      </c>
      <c r="AJ7352" s="5" t="s">
        <v>3624</v>
      </c>
      <c r="AK7352" s="5" t="s">
        <v>3623</v>
      </c>
    </row>
    <row r="7353" spans="35:37">
      <c r="AI7353" s="468">
        <v>49725</v>
      </c>
      <c r="AJ7353" s="5" t="s">
        <v>3626</v>
      </c>
      <c r="AK7353" s="5" t="s">
        <v>3625</v>
      </c>
    </row>
    <row r="7354" spans="35:37">
      <c r="AI7354" s="468">
        <v>49726</v>
      </c>
      <c r="AJ7354" s="5" t="s">
        <v>3628</v>
      </c>
      <c r="AK7354" s="5" t="s">
        <v>3627</v>
      </c>
    </row>
    <row r="7355" spans="35:37">
      <c r="AI7355" s="468">
        <v>49727</v>
      </c>
      <c r="AJ7355" s="5" t="s">
        <v>3617</v>
      </c>
      <c r="AK7355" s="5" t="s">
        <v>3618</v>
      </c>
    </row>
    <row r="7356" spans="35:37">
      <c r="AI7356" s="468">
        <v>49728</v>
      </c>
      <c r="AJ7356" s="5" t="s">
        <v>3619</v>
      </c>
      <c r="AK7356" s="5" t="s">
        <v>3620</v>
      </c>
    </row>
    <row r="7357" spans="35:37">
      <c r="AI7357" s="468">
        <v>49729</v>
      </c>
      <c r="AJ7357" s="5" t="s">
        <v>3621</v>
      </c>
      <c r="AK7357" s="5" t="s">
        <v>3622</v>
      </c>
    </row>
    <row r="7358" spans="35:37">
      <c r="AI7358" s="468">
        <v>49730</v>
      </c>
      <c r="AJ7358" s="5" t="s">
        <v>3579</v>
      </c>
      <c r="AK7358" s="5" t="s">
        <v>3623</v>
      </c>
    </row>
    <row r="7359" spans="35:37">
      <c r="AI7359" s="468">
        <v>49731</v>
      </c>
      <c r="AJ7359" s="5" t="s">
        <v>3624</v>
      </c>
      <c r="AK7359" s="5" t="s">
        <v>3625</v>
      </c>
    </row>
    <row r="7360" spans="35:37">
      <c r="AI7360" s="468">
        <v>49732</v>
      </c>
      <c r="AJ7360" s="5" t="s">
        <v>3626</v>
      </c>
      <c r="AK7360" s="5" t="s">
        <v>3618</v>
      </c>
    </row>
    <row r="7361" spans="35:37">
      <c r="AI7361" s="468">
        <v>49733</v>
      </c>
      <c r="AJ7361" s="5" t="s">
        <v>3628</v>
      </c>
      <c r="AK7361" s="5" t="s">
        <v>3620</v>
      </c>
    </row>
    <row r="7362" spans="35:37">
      <c r="AI7362" s="468">
        <v>49734</v>
      </c>
      <c r="AJ7362" s="5" t="s">
        <v>3617</v>
      </c>
      <c r="AK7362" s="5" t="s">
        <v>3622</v>
      </c>
    </row>
    <row r="7363" spans="35:37">
      <c r="AI7363" s="468">
        <v>49735</v>
      </c>
      <c r="AJ7363" s="5" t="s">
        <v>3619</v>
      </c>
      <c r="AK7363" s="5" t="s">
        <v>3623</v>
      </c>
    </row>
    <row r="7364" spans="35:37">
      <c r="AI7364" s="468">
        <v>49736</v>
      </c>
      <c r="AJ7364" s="5" t="s">
        <v>3621</v>
      </c>
      <c r="AK7364" s="5" t="s">
        <v>3625</v>
      </c>
    </row>
    <row r="7365" spans="35:37">
      <c r="AI7365" s="468">
        <v>49737</v>
      </c>
      <c r="AJ7365" s="5" t="s">
        <v>3579</v>
      </c>
      <c r="AK7365" s="5" t="s">
        <v>3627</v>
      </c>
    </row>
    <row r="7366" spans="35:37">
      <c r="AI7366" s="468">
        <v>49738</v>
      </c>
      <c r="AJ7366" s="5" t="s">
        <v>3624</v>
      </c>
      <c r="AK7366" s="5" t="s">
        <v>3618</v>
      </c>
    </row>
    <row r="7367" spans="35:37">
      <c r="AI7367" s="468">
        <v>49739</v>
      </c>
      <c r="AJ7367" s="5" t="s">
        <v>3626</v>
      </c>
      <c r="AK7367" s="5" t="s">
        <v>3620</v>
      </c>
    </row>
    <row r="7368" spans="35:37">
      <c r="AI7368" s="468">
        <v>49740</v>
      </c>
      <c r="AJ7368" s="5" t="s">
        <v>3628</v>
      </c>
      <c r="AK7368" s="5" t="s">
        <v>3622</v>
      </c>
    </row>
    <row r="7369" spans="35:37">
      <c r="AI7369" s="468">
        <v>49741</v>
      </c>
      <c r="AJ7369" s="5" t="s">
        <v>3617</v>
      </c>
      <c r="AK7369" s="5" t="s">
        <v>3623</v>
      </c>
    </row>
    <row r="7370" spans="35:37">
      <c r="AI7370" s="468">
        <v>49742</v>
      </c>
      <c r="AJ7370" s="5" t="s">
        <v>3619</v>
      </c>
      <c r="AK7370" s="5" t="s">
        <v>3625</v>
      </c>
    </row>
    <row r="7371" spans="35:37">
      <c r="AI7371" s="468">
        <v>49743</v>
      </c>
      <c r="AJ7371" s="5" t="s">
        <v>3621</v>
      </c>
      <c r="AK7371" s="5" t="s">
        <v>3627</v>
      </c>
    </row>
    <row r="7372" spans="35:37">
      <c r="AI7372" s="468">
        <v>49744</v>
      </c>
      <c r="AJ7372" s="5" t="s">
        <v>3579</v>
      </c>
      <c r="AK7372" s="5" t="s">
        <v>3618</v>
      </c>
    </row>
    <row r="7373" spans="35:37">
      <c r="AI7373" s="468">
        <v>49745</v>
      </c>
      <c r="AJ7373" s="5" t="s">
        <v>3624</v>
      </c>
      <c r="AK7373" s="5" t="s">
        <v>3620</v>
      </c>
    </row>
    <row r="7374" spans="35:37">
      <c r="AI7374" s="468">
        <v>49746</v>
      </c>
      <c r="AJ7374" s="5" t="s">
        <v>3626</v>
      </c>
      <c r="AK7374" s="5" t="s">
        <v>3622</v>
      </c>
    </row>
    <row r="7375" spans="35:37">
      <c r="AI7375" s="468">
        <v>49747</v>
      </c>
      <c r="AJ7375" s="5" t="s">
        <v>3628</v>
      </c>
      <c r="AK7375" s="5" t="s">
        <v>3623</v>
      </c>
    </row>
    <row r="7376" spans="35:37">
      <c r="AI7376" s="468">
        <v>49748</v>
      </c>
      <c r="AJ7376" s="5" t="s">
        <v>3617</v>
      </c>
      <c r="AK7376" s="5" t="s">
        <v>3625</v>
      </c>
    </row>
    <row r="7377" spans="35:37">
      <c r="AI7377" s="468">
        <v>49749</v>
      </c>
      <c r="AJ7377" s="5" t="s">
        <v>3619</v>
      </c>
      <c r="AK7377" s="5" t="s">
        <v>3627</v>
      </c>
    </row>
    <row r="7378" spans="35:37">
      <c r="AI7378" s="468">
        <v>49750</v>
      </c>
      <c r="AJ7378" s="5" t="s">
        <v>3621</v>
      </c>
      <c r="AK7378" s="5" t="s">
        <v>3618</v>
      </c>
    </row>
    <row r="7379" spans="35:37">
      <c r="AI7379" s="468">
        <v>49751</v>
      </c>
      <c r="AJ7379" s="5" t="s">
        <v>3579</v>
      </c>
      <c r="AK7379" s="5" t="s">
        <v>3620</v>
      </c>
    </row>
    <row r="7380" spans="35:37">
      <c r="AI7380" s="468">
        <v>49752</v>
      </c>
      <c r="AJ7380" s="5" t="s">
        <v>3624</v>
      </c>
      <c r="AK7380" s="5" t="s">
        <v>3622</v>
      </c>
    </row>
    <row r="7381" spans="35:37">
      <c r="AI7381" s="468">
        <v>49753</v>
      </c>
      <c r="AJ7381" s="5" t="s">
        <v>3626</v>
      </c>
      <c r="AK7381" s="5" t="s">
        <v>3623</v>
      </c>
    </row>
    <row r="7382" spans="35:37">
      <c r="AI7382" s="468">
        <v>49754</v>
      </c>
      <c r="AJ7382" s="5" t="s">
        <v>3628</v>
      </c>
      <c r="AK7382" s="5" t="s">
        <v>3625</v>
      </c>
    </row>
    <row r="7383" spans="35:37">
      <c r="AI7383" s="468">
        <v>49755</v>
      </c>
      <c r="AJ7383" s="5" t="s">
        <v>3617</v>
      </c>
      <c r="AK7383" s="5" t="s">
        <v>3627</v>
      </c>
    </row>
    <row r="7384" spans="35:37">
      <c r="AI7384" s="468">
        <v>49756</v>
      </c>
      <c r="AJ7384" s="5" t="s">
        <v>3619</v>
      </c>
      <c r="AK7384" s="5" t="s">
        <v>3618</v>
      </c>
    </row>
    <row r="7385" spans="35:37">
      <c r="AI7385" s="468">
        <v>49757</v>
      </c>
      <c r="AJ7385" s="5" t="s">
        <v>3621</v>
      </c>
      <c r="AK7385" s="5" t="s">
        <v>3620</v>
      </c>
    </row>
    <row r="7386" spans="35:37">
      <c r="AI7386" s="468">
        <v>49758</v>
      </c>
      <c r="AJ7386" s="5" t="s">
        <v>3579</v>
      </c>
      <c r="AK7386" s="5" t="s">
        <v>3622</v>
      </c>
    </row>
    <row r="7387" spans="35:37">
      <c r="AI7387" s="468">
        <v>49759</v>
      </c>
      <c r="AJ7387" s="5" t="s">
        <v>3624</v>
      </c>
      <c r="AK7387" s="5" t="s">
        <v>3623</v>
      </c>
    </row>
    <row r="7388" spans="35:37">
      <c r="AI7388" s="468">
        <v>49760</v>
      </c>
      <c r="AJ7388" s="5" t="s">
        <v>3626</v>
      </c>
      <c r="AK7388" s="5" t="s">
        <v>3625</v>
      </c>
    </row>
    <row r="7389" spans="35:37">
      <c r="AI7389" s="468">
        <v>49761</v>
      </c>
      <c r="AJ7389" s="5" t="s">
        <v>3628</v>
      </c>
      <c r="AK7389" s="5" t="s">
        <v>3627</v>
      </c>
    </row>
    <row r="7390" spans="35:37">
      <c r="AI7390" s="468">
        <v>49762</v>
      </c>
      <c r="AJ7390" s="5" t="s">
        <v>3617</v>
      </c>
      <c r="AK7390" s="5" t="s">
        <v>3620</v>
      </c>
    </row>
    <row r="7391" spans="35:37">
      <c r="AI7391" s="468">
        <v>49763</v>
      </c>
      <c r="AJ7391" s="5" t="s">
        <v>3619</v>
      </c>
      <c r="AK7391" s="5" t="s">
        <v>3622</v>
      </c>
    </row>
    <row r="7392" spans="35:37">
      <c r="AI7392" s="468">
        <v>49764</v>
      </c>
      <c r="AJ7392" s="5" t="s">
        <v>3621</v>
      </c>
      <c r="AK7392" s="5" t="s">
        <v>3623</v>
      </c>
    </row>
    <row r="7393" spans="35:37">
      <c r="AI7393" s="468">
        <v>49765</v>
      </c>
      <c r="AJ7393" s="5" t="s">
        <v>3579</v>
      </c>
      <c r="AK7393" s="5" t="s">
        <v>3625</v>
      </c>
    </row>
    <row r="7394" spans="35:37">
      <c r="AI7394" s="468">
        <v>49766</v>
      </c>
      <c r="AJ7394" s="5" t="s">
        <v>3624</v>
      </c>
      <c r="AK7394" s="5" t="s">
        <v>3627</v>
      </c>
    </row>
    <row r="7395" spans="35:37">
      <c r="AI7395" s="468">
        <v>49767</v>
      </c>
      <c r="AJ7395" s="5" t="s">
        <v>3626</v>
      </c>
      <c r="AK7395" s="5" t="s">
        <v>3618</v>
      </c>
    </row>
    <row r="7396" spans="35:37">
      <c r="AI7396" s="468">
        <v>49768</v>
      </c>
      <c r="AJ7396" s="5" t="s">
        <v>3628</v>
      </c>
      <c r="AK7396" s="5" t="s">
        <v>3620</v>
      </c>
    </row>
    <row r="7397" spans="35:37">
      <c r="AI7397" s="468">
        <v>49769</v>
      </c>
      <c r="AJ7397" s="5" t="s">
        <v>3617</v>
      </c>
      <c r="AK7397" s="5" t="s">
        <v>3622</v>
      </c>
    </row>
    <row r="7398" spans="35:37">
      <c r="AI7398" s="468">
        <v>49770</v>
      </c>
      <c r="AJ7398" s="5" t="s">
        <v>3619</v>
      </c>
      <c r="AK7398" s="5" t="s">
        <v>3623</v>
      </c>
    </row>
    <row r="7399" spans="35:37">
      <c r="AI7399" s="468">
        <v>49771</v>
      </c>
      <c r="AJ7399" s="5" t="s">
        <v>3621</v>
      </c>
      <c r="AK7399" s="5" t="s">
        <v>3625</v>
      </c>
    </row>
    <row r="7400" spans="35:37">
      <c r="AI7400" s="468">
        <v>49772</v>
      </c>
      <c r="AJ7400" s="5" t="s">
        <v>3579</v>
      </c>
      <c r="AK7400" s="5" t="s">
        <v>3627</v>
      </c>
    </row>
    <row r="7401" spans="35:37">
      <c r="AI7401" s="468">
        <v>49773</v>
      </c>
      <c r="AJ7401" s="5" t="s">
        <v>3624</v>
      </c>
      <c r="AK7401" s="5" t="s">
        <v>3618</v>
      </c>
    </row>
    <row r="7402" spans="35:37">
      <c r="AI7402" s="468">
        <v>49774</v>
      </c>
      <c r="AJ7402" s="5" t="s">
        <v>3626</v>
      </c>
      <c r="AK7402" s="5" t="s">
        <v>3620</v>
      </c>
    </row>
    <row r="7403" spans="35:37">
      <c r="AI7403" s="468">
        <v>49775</v>
      </c>
      <c r="AJ7403" s="5" t="s">
        <v>3628</v>
      </c>
      <c r="AK7403" s="5" t="s">
        <v>3622</v>
      </c>
    </row>
    <row r="7404" spans="35:37">
      <c r="AI7404" s="468">
        <v>49776</v>
      </c>
      <c r="AJ7404" s="5" t="s">
        <v>3617</v>
      </c>
      <c r="AK7404" s="5" t="s">
        <v>3623</v>
      </c>
    </row>
    <row r="7405" spans="35:37">
      <c r="AI7405" s="468">
        <v>49777</v>
      </c>
      <c r="AJ7405" s="5" t="s">
        <v>3619</v>
      </c>
      <c r="AK7405" s="5" t="s">
        <v>3625</v>
      </c>
    </row>
    <row r="7406" spans="35:37">
      <c r="AI7406" s="468">
        <v>49778</v>
      </c>
      <c r="AJ7406" s="5" t="s">
        <v>3621</v>
      </c>
      <c r="AK7406" s="5" t="s">
        <v>3627</v>
      </c>
    </row>
    <row r="7407" spans="35:37">
      <c r="AI7407" s="468">
        <v>49779</v>
      </c>
      <c r="AJ7407" s="5" t="s">
        <v>3579</v>
      </c>
      <c r="AK7407" s="5" t="s">
        <v>3618</v>
      </c>
    </row>
    <row r="7408" spans="35:37">
      <c r="AI7408" s="468">
        <v>49780</v>
      </c>
      <c r="AJ7408" s="5" t="s">
        <v>3624</v>
      </c>
      <c r="AK7408" s="5" t="s">
        <v>3620</v>
      </c>
    </row>
    <row r="7409" spans="35:37">
      <c r="AI7409" s="468">
        <v>49781</v>
      </c>
      <c r="AJ7409" s="5" t="s">
        <v>3626</v>
      </c>
      <c r="AK7409" s="5" t="s">
        <v>3622</v>
      </c>
    </row>
    <row r="7410" spans="35:37">
      <c r="AI7410" s="468">
        <v>49782</v>
      </c>
      <c r="AJ7410" s="5" t="s">
        <v>3628</v>
      </c>
      <c r="AK7410" s="5" t="s">
        <v>3623</v>
      </c>
    </row>
    <row r="7411" spans="35:37">
      <c r="AI7411" s="468">
        <v>49783</v>
      </c>
      <c r="AJ7411" s="5" t="s">
        <v>3617</v>
      </c>
      <c r="AK7411" s="5" t="s">
        <v>3625</v>
      </c>
    </row>
    <row r="7412" spans="35:37">
      <c r="AI7412" s="468">
        <v>49784</v>
      </c>
      <c r="AJ7412" s="5" t="s">
        <v>3619</v>
      </c>
      <c r="AK7412" s="5" t="s">
        <v>3627</v>
      </c>
    </row>
    <row r="7413" spans="35:37">
      <c r="AI7413" s="468">
        <v>49785</v>
      </c>
      <c r="AJ7413" s="5" t="s">
        <v>3621</v>
      </c>
      <c r="AK7413" s="5" t="s">
        <v>3618</v>
      </c>
    </row>
    <row r="7414" spans="35:37">
      <c r="AI7414" s="468">
        <v>49786</v>
      </c>
      <c r="AJ7414" s="5" t="s">
        <v>3579</v>
      </c>
      <c r="AK7414" s="5" t="s">
        <v>3620</v>
      </c>
    </row>
    <row r="7415" spans="35:37">
      <c r="AI7415" s="468">
        <v>49787</v>
      </c>
      <c r="AJ7415" s="5" t="s">
        <v>3624</v>
      </c>
      <c r="AK7415" s="5" t="s">
        <v>3622</v>
      </c>
    </row>
    <row r="7416" spans="35:37">
      <c r="AI7416" s="468">
        <v>49788</v>
      </c>
      <c r="AJ7416" s="5" t="s">
        <v>3626</v>
      </c>
      <c r="AK7416" s="5" t="s">
        <v>3623</v>
      </c>
    </row>
    <row r="7417" spans="35:37">
      <c r="AI7417" s="468">
        <v>49789</v>
      </c>
      <c r="AJ7417" s="5" t="s">
        <v>3628</v>
      </c>
      <c r="AK7417" s="5" t="s">
        <v>3625</v>
      </c>
    </row>
    <row r="7418" spans="35:37">
      <c r="AI7418" s="468">
        <v>49790</v>
      </c>
      <c r="AJ7418" s="5" t="s">
        <v>3617</v>
      </c>
      <c r="AK7418" s="5" t="s">
        <v>3627</v>
      </c>
    </row>
    <row r="7419" spans="35:37">
      <c r="AI7419" s="468">
        <v>49791</v>
      </c>
      <c r="AJ7419" s="5" t="s">
        <v>3619</v>
      </c>
      <c r="AK7419" s="5" t="s">
        <v>3622</v>
      </c>
    </row>
    <row r="7420" spans="35:37">
      <c r="AI7420" s="468">
        <v>49792</v>
      </c>
      <c r="AJ7420" s="5" t="s">
        <v>3621</v>
      </c>
      <c r="AK7420" s="5" t="s">
        <v>3623</v>
      </c>
    </row>
    <row r="7421" spans="35:37">
      <c r="AI7421" s="468">
        <v>49793</v>
      </c>
      <c r="AJ7421" s="5" t="s">
        <v>3579</v>
      </c>
      <c r="AK7421" s="5" t="s">
        <v>3625</v>
      </c>
    </row>
    <row r="7422" spans="35:37">
      <c r="AI7422" s="468">
        <v>49794</v>
      </c>
      <c r="AJ7422" s="5" t="s">
        <v>3624</v>
      </c>
      <c r="AK7422" s="5" t="s">
        <v>3627</v>
      </c>
    </row>
    <row r="7423" spans="35:37">
      <c r="AI7423" s="468">
        <v>49795</v>
      </c>
      <c r="AJ7423" s="5" t="s">
        <v>3626</v>
      </c>
      <c r="AK7423" s="5" t="s">
        <v>3618</v>
      </c>
    </row>
    <row r="7424" spans="35:37">
      <c r="AI7424" s="468">
        <v>49796</v>
      </c>
      <c r="AJ7424" s="5" t="s">
        <v>3628</v>
      </c>
      <c r="AK7424" s="5" t="s">
        <v>3620</v>
      </c>
    </row>
    <row r="7425" spans="35:37">
      <c r="AI7425" s="468">
        <v>49797</v>
      </c>
      <c r="AJ7425" s="5" t="s">
        <v>3617</v>
      </c>
      <c r="AK7425" s="5" t="s">
        <v>3622</v>
      </c>
    </row>
    <row r="7426" spans="35:37">
      <c r="AI7426" s="468">
        <v>49798</v>
      </c>
      <c r="AJ7426" s="5" t="s">
        <v>3619</v>
      </c>
      <c r="AK7426" s="5" t="s">
        <v>3623</v>
      </c>
    </row>
    <row r="7427" spans="35:37">
      <c r="AI7427" s="468">
        <v>49799</v>
      </c>
      <c r="AJ7427" s="5" t="s">
        <v>3621</v>
      </c>
      <c r="AK7427" s="5" t="s">
        <v>3625</v>
      </c>
    </row>
    <row r="7428" spans="35:37">
      <c r="AI7428" s="468">
        <v>49800</v>
      </c>
      <c r="AJ7428" s="5" t="s">
        <v>3579</v>
      </c>
      <c r="AK7428" s="5" t="s">
        <v>3627</v>
      </c>
    </row>
    <row r="7429" spans="35:37">
      <c r="AI7429" s="468">
        <v>49801</v>
      </c>
      <c r="AJ7429" s="5" t="s">
        <v>3624</v>
      </c>
      <c r="AK7429" s="5" t="s">
        <v>3618</v>
      </c>
    </row>
    <row r="7430" spans="35:37">
      <c r="AI7430" s="468">
        <v>49802</v>
      </c>
      <c r="AJ7430" s="5" t="s">
        <v>3626</v>
      </c>
      <c r="AK7430" s="5" t="s">
        <v>3620</v>
      </c>
    </row>
    <row r="7431" spans="35:37">
      <c r="AI7431" s="468">
        <v>49803</v>
      </c>
      <c r="AJ7431" s="5" t="s">
        <v>3628</v>
      </c>
      <c r="AK7431" s="5" t="s">
        <v>3622</v>
      </c>
    </row>
    <row r="7432" spans="35:37">
      <c r="AI7432" s="468">
        <v>49804</v>
      </c>
      <c r="AJ7432" s="5" t="s">
        <v>3617</v>
      </c>
      <c r="AK7432" s="5" t="s">
        <v>3623</v>
      </c>
    </row>
    <row r="7433" spans="35:37">
      <c r="AI7433" s="468">
        <v>49805</v>
      </c>
      <c r="AJ7433" s="5" t="s">
        <v>3619</v>
      </c>
      <c r="AK7433" s="5" t="s">
        <v>3625</v>
      </c>
    </row>
    <row r="7434" spans="35:37">
      <c r="AI7434" s="468">
        <v>49806</v>
      </c>
      <c r="AJ7434" s="5" t="s">
        <v>3621</v>
      </c>
      <c r="AK7434" s="5" t="s">
        <v>3627</v>
      </c>
    </row>
    <row r="7435" spans="35:37">
      <c r="AI7435" s="468">
        <v>49807</v>
      </c>
      <c r="AJ7435" s="5" t="s">
        <v>3579</v>
      </c>
      <c r="AK7435" s="5" t="s">
        <v>3618</v>
      </c>
    </row>
    <row r="7436" spans="35:37">
      <c r="AI7436" s="468">
        <v>49808</v>
      </c>
      <c r="AJ7436" s="5" t="s">
        <v>3624</v>
      </c>
      <c r="AK7436" s="5" t="s">
        <v>3620</v>
      </c>
    </row>
    <row r="7437" spans="35:37">
      <c r="AI7437" s="468">
        <v>49809</v>
      </c>
      <c r="AJ7437" s="5" t="s">
        <v>3626</v>
      </c>
      <c r="AK7437" s="5" t="s">
        <v>3622</v>
      </c>
    </row>
    <row r="7438" spans="35:37">
      <c r="AI7438" s="468">
        <v>49810</v>
      </c>
      <c r="AJ7438" s="5" t="s">
        <v>3628</v>
      </c>
      <c r="AK7438" s="5" t="s">
        <v>3623</v>
      </c>
    </row>
    <row r="7439" spans="35:37">
      <c r="AI7439" s="468">
        <v>49811</v>
      </c>
      <c r="AJ7439" s="5" t="s">
        <v>3617</v>
      </c>
      <c r="AK7439" s="5" t="s">
        <v>3625</v>
      </c>
    </row>
    <row r="7440" spans="35:37">
      <c r="AI7440" s="468">
        <v>49812</v>
      </c>
      <c r="AJ7440" s="5" t="s">
        <v>3619</v>
      </c>
      <c r="AK7440" s="5" t="s">
        <v>3627</v>
      </c>
    </row>
    <row r="7441" spans="35:37">
      <c r="AI7441" s="468">
        <v>49813</v>
      </c>
      <c r="AJ7441" s="5" t="s">
        <v>3621</v>
      </c>
      <c r="AK7441" s="5" t="s">
        <v>3618</v>
      </c>
    </row>
    <row r="7442" spans="35:37">
      <c r="AI7442" s="468">
        <v>49814</v>
      </c>
      <c r="AJ7442" s="5" t="s">
        <v>3579</v>
      </c>
      <c r="AK7442" s="5" t="s">
        <v>3620</v>
      </c>
    </row>
    <row r="7443" spans="35:37">
      <c r="AI7443" s="468">
        <v>49815</v>
      </c>
      <c r="AJ7443" s="5" t="s">
        <v>3624</v>
      </c>
      <c r="AK7443" s="5" t="s">
        <v>3622</v>
      </c>
    </row>
    <row r="7444" spans="35:37">
      <c r="AI7444" s="468">
        <v>49816</v>
      </c>
      <c r="AJ7444" s="5" t="s">
        <v>3626</v>
      </c>
      <c r="AK7444" s="5" t="s">
        <v>3623</v>
      </c>
    </row>
    <row r="7445" spans="35:37">
      <c r="AI7445" s="468">
        <v>49817</v>
      </c>
      <c r="AJ7445" s="5" t="s">
        <v>3628</v>
      </c>
      <c r="AK7445" s="5" t="s">
        <v>3625</v>
      </c>
    </row>
    <row r="7446" spans="35:37">
      <c r="AI7446" s="468">
        <v>49818</v>
      </c>
      <c r="AJ7446" s="5" t="s">
        <v>3617</v>
      </c>
      <c r="AK7446" s="5" t="s">
        <v>3627</v>
      </c>
    </row>
    <row r="7447" spans="35:37">
      <c r="AI7447" s="468">
        <v>49819</v>
      </c>
      <c r="AJ7447" s="5" t="s">
        <v>3619</v>
      </c>
      <c r="AK7447" s="5" t="s">
        <v>3618</v>
      </c>
    </row>
    <row r="7448" spans="35:37">
      <c r="AI7448" s="468">
        <v>49820</v>
      </c>
      <c r="AJ7448" s="5" t="s">
        <v>3621</v>
      </c>
      <c r="AK7448" s="5" t="s">
        <v>3620</v>
      </c>
    </row>
    <row r="7449" spans="35:37">
      <c r="AI7449" s="468">
        <v>49821</v>
      </c>
      <c r="AJ7449" s="5" t="s">
        <v>3579</v>
      </c>
      <c r="AK7449" s="5" t="s">
        <v>3623</v>
      </c>
    </row>
    <row r="7450" spans="35:37">
      <c r="AI7450" s="468">
        <v>49822</v>
      </c>
      <c r="AJ7450" s="5" t="s">
        <v>3624</v>
      </c>
      <c r="AK7450" s="5" t="s">
        <v>3625</v>
      </c>
    </row>
    <row r="7451" spans="35:37">
      <c r="AI7451" s="468">
        <v>49823</v>
      </c>
      <c r="AJ7451" s="5" t="s">
        <v>3626</v>
      </c>
      <c r="AK7451" s="5" t="s">
        <v>3627</v>
      </c>
    </row>
    <row r="7452" spans="35:37">
      <c r="AI7452" s="468">
        <v>49824</v>
      </c>
      <c r="AJ7452" s="5" t="s">
        <v>3628</v>
      </c>
      <c r="AK7452" s="5" t="s">
        <v>3618</v>
      </c>
    </row>
    <row r="7453" spans="35:37">
      <c r="AI7453" s="468">
        <v>49825</v>
      </c>
      <c r="AJ7453" s="5" t="s">
        <v>3617</v>
      </c>
      <c r="AK7453" s="5" t="s">
        <v>3620</v>
      </c>
    </row>
    <row r="7454" spans="35:37">
      <c r="AI7454" s="468">
        <v>49826</v>
      </c>
      <c r="AJ7454" s="5" t="s">
        <v>3619</v>
      </c>
      <c r="AK7454" s="5" t="s">
        <v>3622</v>
      </c>
    </row>
    <row r="7455" spans="35:37">
      <c r="AI7455" s="468">
        <v>49827</v>
      </c>
      <c r="AJ7455" s="5" t="s">
        <v>3621</v>
      </c>
      <c r="AK7455" s="5" t="s">
        <v>3623</v>
      </c>
    </row>
    <row r="7456" spans="35:37">
      <c r="AI7456" s="468">
        <v>49828</v>
      </c>
      <c r="AJ7456" s="5" t="s">
        <v>3579</v>
      </c>
      <c r="AK7456" s="5" t="s">
        <v>3625</v>
      </c>
    </row>
    <row r="7457" spans="35:37">
      <c r="AI7457" s="468">
        <v>49829</v>
      </c>
      <c r="AJ7457" s="5" t="s">
        <v>3624</v>
      </c>
      <c r="AK7457" s="5" t="s">
        <v>3627</v>
      </c>
    </row>
    <row r="7458" spans="35:37">
      <c r="AI7458" s="468">
        <v>49830</v>
      </c>
      <c r="AJ7458" s="5" t="s">
        <v>3626</v>
      </c>
      <c r="AK7458" s="5" t="s">
        <v>3618</v>
      </c>
    </row>
    <row r="7459" spans="35:37">
      <c r="AI7459" s="468">
        <v>49831</v>
      </c>
      <c r="AJ7459" s="5" t="s">
        <v>3628</v>
      </c>
      <c r="AK7459" s="5" t="s">
        <v>3620</v>
      </c>
    </row>
    <row r="7460" spans="35:37">
      <c r="AI7460" s="468">
        <v>49832</v>
      </c>
      <c r="AJ7460" s="5" t="s">
        <v>3617</v>
      </c>
      <c r="AK7460" s="5" t="s">
        <v>3622</v>
      </c>
    </row>
    <row r="7461" spans="35:37">
      <c r="AI7461" s="468">
        <v>49833</v>
      </c>
      <c r="AJ7461" s="5" t="s">
        <v>3619</v>
      </c>
      <c r="AK7461" s="5" t="s">
        <v>3623</v>
      </c>
    </row>
    <row r="7462" spans="35:37">
      <c r="AI7462" s="468">
        <v>49834</v>
      </c>
      <c r="AJ7462" s="5" t="s">
        <v>3621</v>
      </c>
      <c r="AK7462" s="5" t="s">
        <v>3625</v>
      </c>
    </row>
    <row r="7463" spans="35:37">
      <c r="AI7463" s="468">
        <v>49835</v>
      </c>
      <c r="AJ7463" s="5" t="s">
        <v>3579</v>
      </c>
      <c r="AK7463" s="5" t="s">
        <v>3627</v>
      </c>
    </row>
    <row r="7464" spans="35:37">
      <c r="AI7464" s="468">
        <v>49836</v>
      </c>
      <c r="AJ7464" s="5" t="s">
        <v>3624</v>
      </c>
      <c r="AK7464" s="5" t="s">
        <v>3618</v>
      </c>
    </row>
    <row r="7465" spans="35:37">
      <c r="AI7465" s="468">
        <v>49837</v>
      </c>
      <c r="AJ7465" s="5" t="s">
        <v>3626</v>
      </c>
      <c r="AK7465" s="5" t="s">
        <v>3620</v>
      </c>
    </row>
    <row r="7466" spans="35:37">
      <c r="AI7466" s="468">
        <v>49838</v>
      </c>
      <c r="AJ7466" s="5" t="s">
        <v>3628</v>
      </c>
      <c r="AK7466" s="5" t="s">
        <v>3622</v>
      </c>
    </row>
    <row r="7467" spans="35:37">
      <c r="AI7467" s="468">
        <v>49839</v>
      </c>
      <c r="AJ7467" s="5" t="s">
        <v>3617</v>
      </c>
      <c r="AK7467" s="5" t="s">
        <v>3623</v>
      </c>
    </row>
    <row r="7468" spans="35:37">
      <c r="AI7468" s="468">
        <v>49840</v>
      </c>
      <c r="AJ7468" s="5" t="s">
        <v>3619</v>
      </c>
      <c r="AK7468" s="5" t="s">
        <v>3625</v>
      </c>
    </row>
    <row r="7469" spans="35:37">
      <c r="AI7469" s="468">
        <v>49841</v>
      </c>
      <c r="AJ7469" s="5" t="s">
        <v>3621</v>
      </c>
      <c r="AK7469" s="5" t="s">
        <v>3627</v>
      </c>
    </row>
    <row r="7470" spans="35:37">
      <c r="AI7470" s="468">
        <v>49842</v>
      </c>
      <c r="AJ7470" s="5" t="s">
        <v>3579</v>
      </c>
      <c r="AK7470" s="5" t="s">
        <v>3618</v>
      </c>
    </row>
    <row r="7471" spans="35:37">
      <c r="AI7471" s="468">
        <v>49843</v>
      </c>
      <c r="AJ7471" s="5" t="s">
        <v>3624</v>
      </c>
      <c r="AK7471" s="5" t="s">
        <v>3620</v>
      </c>
    </row>
    <row r="7472" spans="35:37">
      <c r="AI7472" s="468">
        <v>49844</v>
      </c>
      <c r="AJ7472" s="5" t="s">
        <v>3626</v>
      </c>
      <c r="AK7472" s="5" t="s">
        <v>3622</v>
      </c>
    </row>
    <row r="7473" spans="35:37">
      <c r="AI7473" s="468">
        <v>49845</v>
      </c>
      <c r="AJ7473" s="5" t="s">
        <v>3628</v>
      </c>
      <c r="AK7473" s="5" t="s">
        <v>3623</v>
      </c>
    </row>
    <row r="7474" spans="35:37">
      <c r="AI7474" s="468">
        <v>49846</v>
      </c>
      <c r="AJ7474" s="5" t="s">
        <v>3617</v>
      </c>
      <c r="AK7474" s="5" t="s">
        <v>3625</v>
      </c>
    </row>
    <row r="7475" spans="35:37">
      <c r="AI7475" s="468">
        <v>49847</v>
      </c>
      <c r="AJ7475" s="5" t="s">
        <v>3619</v>
      </c>
      <c r="AK7475" s="5" t="s">
        <v>3627</v>
      </c>
    </row>
    <row r="7476" spans="35:37">
      <c r="AI7476" s="468">
        <v>49848</v>
      </c>
      <c r="AJ7476" s="5" t="s">
        <v>3621</v>
      </c>
      <c r="AK7476" s="5" t="s">
        <v>3618</v>
      </c>
    </row>
    <row r="7477" spans="35:37">
      <c r="AI7477" s="468">
        <v>49849</v>
      </c>
      <c r="AJ7477" s="5" t="s">
        <v>3579</v>
      </c>
      <c r="AK7477" s="5" t="s">
        <v>3620</v>
      </c>
    </row>
    <row r="7478" spans="35:37">
      <c r="AI7478" s="468">
        <v>49850</v>
      </c>
      <c r="AJ7478" s="5" t="s">
        <v>3624</v>
      </c>
      <c r="AK7478" s="5" t="s">
        <v>3625</v>
      </c>
    </row>
    <row r="7479" spans="35:37">
      <c r="AI7479" s="468">
        <v>49851</v>
      </c>
      <c r="AJ7479" s="5" t="s">
        <v>3626</v>
      </c>
      <c r="AK7479" s="5" t="s">
        <v>3627</v>
      </c>
    </row>
    <row r="7480" spans="35:37">
      <c r="AI7480" s="468">
        <v>49852</v>
      </c>
      <c r="AJ7480" s="5" t="s">
        <v>3628</v>
      </c>
      <c r="AK7480" s="5" t="s">
        <v>3618</v>
      </c>
    </row>
    <row r="7481" spans="35:37">
      <c r="AI7481" s="468">
        <v>49853</v>
      </c>
      <c r="AJ7481" s="5" t="s">
        <v>3617</v>
      </c>
      <c r="AK7481" s="5" t="s">
        <v>3620</v>
      </c>
    </row>
    <row r="7482" spans="35:37">
      <c r="AI7482" s="468">
        <v>49854</v>
      </c>
      <c r="AJ7482" s="5" t="s">
        <v>3619</v>
      </c>
      <c r="AK7482" s="5" t="s">
        <v>3622</v>
      </c>
    </row>
    <row r="7483" spans="35:37">
      <c r="AI7483" s="468">
        <v>49855</v>
      </c>
      <c r="AJ7483" s="5" t="s">
        <v>3621</v>
      </c>
      <c r="AK7483" s="5" t="s">
        <v>3623</v>
      </c>
    </row>
    <row r="7484" spans="35:37">
      <c r="AI7484" s="468">
        <v>49856</v>
      </c>
      <c r="AJ7484" s="5" t="s">
        <v>3579</v>
      </c>
      <c r="AK7484" s="5" t="s">
        <v>3625</v>
      </c>
    </row>
    <row r="7485" spans="35:37">
      <c r="AI7485" s="468">
        <v>49857</v>
      </c>
      <c r="AJ7485" s="5" t="s">
        <v>3624</v>
      </c>
      <c r="AK7485" s="5" t="s">
        <v>3627</v>
      </c>
    </row>
    <row r="7486" spans="35:37">
      <c r="AI7486" s="468">
        <v>49858</v>
      </c>
      <c r="AJ7486" s="5" t="s">
        <v>3626</v>
      </c>
      <c r="AK7486" s="5" t="s">
        <v>3618</v>
      </c>
    </row>
    <row r="7487" spans="35:37">
      <c r="AI7487" s="468">
        <v>49859</v>
      </c>
      <c r="AJ7487" s="5" t="s">
        <v>3628</v>
      </c>
      <c r="AK7487" s="5" t="s">
        <v>3620</v>
      </c>
    </row>
    <row r="7488" spans="35:37">
      <c r="AI7488" s="468">
        <v>49860</v>
      </c>
      <c r="AJ7488" s="5" t="s">
        <v>3617</v>
      </c>
      <c r="AK7488" s="5" t="s">
        <v>3622</v>
      </c>
    </row>
    <row r="7489" spans="35:37">
      <c r="AI7489" s="468">
        <v>49861</v>
      </c>
      <c r="AJ7489" s="5" t="s">
        <v>3619</v>
      </c>
      <c r="AK7489" s="5" t="s">
        <v>3623</v>
      </c>
    </row>
    <row r="7490" spans="35:37">
      <c r="AI7490" s="468">
        <v>49862</v>
      </c>
      <c r="AJ7490" s="5" t="s">
        <v>3621</v>
      </c>
      <c r="AK7490" s="5" t="s">
        <v>3625</v>
      </c>
    </row>
    <row r="7491" spans="35:37">
      <c r="AI7491" s="468">
        <v>49863</v>
      </c>
      <c r="AJ7491" s="5" t="s">
        <v>3579</v>
      </c>
      <c r="AK7491" s="5" t="s">
        <v>3627</v>
      </c>
    </row>
    <row r="7492" spans="35:37">
      <c r="AI7492" s="468">
        <v>49864</v>
      </c>
      <c r="AJ7492" s="5" t="s">
        <v>3624</v>
      </c>
      <c r="AK7492" s="5" t="s">
        <v>3618</v>
      </c>
    </row>
    <row r="7493" spans="35:37">
      <c r="AI7493" s="468">
        <v>49865</v>
      </c>
      <c r="AJ7493" s="5" t="s">
        <v>3626</v>
      </c>
      <c r="AK7493" s="5" t="s">
        <v>3620</v>
      </c>
    </row>
    <row r="7494" spans="35:37">
      <c r="AI7494" s="468">
        <v>49866</v>
      </c>
      <c r="AJ7494" s="5" t="s">
        <v>3628</v>
      </c>
      <c r="AK7494" s="5" t="s">
        <v>3622</v>
      </c>
    </row>
    <row r="7495" spans="35:37">
      <c r="AI7495" s="468">
        <v>49867</v>
      </c>
      <c r="AJ7495" s="5" t="s">
        <v>3617</v>
      </c>
      <c r="AK7495" s="5" t="s">
        <v>3623</v>
      </c>
    </row>
    <row r="7496" spans="35:37">
      <c r="AI7496" s="468">
        <v>49868</v>
      </c>
      <c r="AJ7496" s="5" t="s">
        <v>3619</v>
      </c>
      <c r="AK7496" s="5" t="s">
        <v>3625</v>
      </c>
    </row>
    <row r="7497" spans="35:37">
      <c r="AI7497" s="468">
        <v>49869</v>
      </c>
      <c r="AJ7497" s="5" t="s">
        <v>3621</v>
      </c>
      <c r="AK7497" s="5" t="s">
        <v>3627</v>
      </c>
    </row>
    <row r="7498" spans="35:37">
      <c r="AI7498" s="468">
        <v>49870</v>
      </c>
      <c r="AJ7498" s="5" t="s">
        <v>3579</v>
      </c>
      <c r="AK7498" s="5" t="s">
        <v>3618</v>
      </c>
    </row>
    <row r="7499" spans="35:37">
      <c r="AI7499" s="468">
        <v>49871</v>
      </c>
      <c r="AJ7499" s="5" t="s">
        <v>3624</v>
      </c>
      <c r="AK7499" s="5" t="s">
        <v>3620</v>
      </c>
    </row>
    <row r="7500" spans="35:37">
      <c r="AI7500" s="468">
        <v>49872</v>
      </c>
      <c r="AJ7500" s="5" t="s">
        <v>3626</v>
      </c>
      <c r="AK7500" s="5" t="s">
        <v>3622</v>
      </c>
    </row>
    <row r="7501" spans="35:37">
      <c r="AI7501" s="468">
        <v>49873</v>
      </c>
      <c r="AJ7501" s="5" t="s">
        <v>3628</v>
      </c>
      <c r="AK7501" s="5" t="s">
        <v>3623</v>
      </c>
    </row>
    <row r="7502" spans="35:37">
      <c r="AI7502" s="468">
        <v>49874</v>
      </c>
      <c r="AJ7502" s="5" t="s">
        <v>3617</v>
      </c>
      <c r="AK7502" s="5" t="s">
        <v>3625</v>
      </c>
    </row>
    <row r="7503" spans="35:37">
      <c r="AI7503" s="468">
        <v>49875</v>
      </c>
      <c r="AJ7503" s="5" t="s">
        <v>3619</v>
      </c>
      <c r="AK7503" s="5" t="s">
        <v>3627</v>
      </c>
    </row>
    <row r="7504" spans="35:37">
      <c r="AI7504" s="468">
        <v>49876</v>
      </c>
      <c r="AJ7504" s="5" t="s">
        <v>3621</v>
      </c>
      <c r="AK7504" s="5" t="s">
        <v>3618</v>
      </c>
    </row>
    <row r="7505" spans="35:37">
      <c r="AI7505" s="468">
        <v>49877</v>
      </c>
      <c r="AJ7505" s="5" t="s">
        <v>3579</v>
      </c>
      <c r="AK7505" s="5" t="s">
        <v>3620</v>
      </c>
    </row>
    <row r="7506" spans="35:37">
      <c r="AI7506" s="468">
        <v>49878</v>
      </c>
      <c r="AJ7506" s="5" t="s">
        <v>3624</v>
      </c>
      <c r="AK7506" s="5" t="s">
        <v>3622</v>
      </c>
    </row>
    <row r="7507" spans="35:37">
      <c r="AI7507" s="468">
        <v>49879</v>
      </c>
      <c r="AJ7507" s="5" t="s">
        <v>3626</v>
      </c>
      <c r="AK7507" s="5" t="s">
        <v>3625</v>
      </c>
    </row>
    <row r="7508" spans="35:37">
      <c r="AI7508" s="468">
        <v>49880</v>
      </c>
      <c r="AJ7508" s="5" t="s">
        <v>3628</v>
      </c>
      <c r="AK7508" s="5" t="s">
        <v>3627</v>
      </c>
    </row>
    <row r="7509" spans="35:37">
      <c r="AI7509" s="468">
        <v>49881</v>
      </c>
      <c r="AJ7509" s="5" t="s">
        <v>3617</v>
      </c>
      <c r="AK7509" s="5" t="s">
        <v>3618</v>
      </c>
    </row>
    <row r="7510" spans="35:37">
      <c r="AI7510" s="468">
        <v>49882</v>
      </c>
      <c r="AJ7510" s="5" t="s">
        <v>3619</v>
      </c>
      <c r="AK7510" s="5" t="s">
        <v>3620</v>
      </c>
    </row>
    <row r="7511" spans="35:37">
      <c r="AI7511" s="468">
        <v>49883</v>
      </c>
      <c r="AJ7511" s="5" t="s">
        <v>3621</v>
      </c>
      <c r="AK7511" s="5" t="s">
        <v>3622</v>
      </c>
    </row>
    <row r="7512" spans="35:37">
      <c r="AI7512" s="468">
        <v>49884</v>
      </c>
      <c r="AJ7512" s="5" t="s">
        <v>3579</v>
      </c>
      <c r="AK7512" s="5" t="s">
        <v>3623</v>
      </c>
    </row>
    <row r="7513" spans="35:37">
      <c r="AI7513" s="468">
        <v>49885</v>
      </c>
      <c r="AJ7513" s="5" t="s">
        <v>3624</v>
      </c>
      <c r="AK7513" s="5" t="s">
        <v>3625</v>
      </c>
    </row>
    <row r="7514" spans="35:37">
      <c r="AI7514" s="468">
        <v>49886</v>
      </c>
      <c r="AJ7514" s="5" t="s">
        <v>3626</v>
      </c>
      <c r="AK7514" s="5" t="s">
        <v>3627</v>
      </c>
    </row>
    <row r="7515" spans="35:37">
      <c r="AI7515" s="468">
        <v>49887</v>
      </c>
      <c r="AJ7515" s="5" t="s">
        <v>3628</v>
      </c>
      <c r="AK7515" s="5" t="s">
        <v>3618</v>
      </c>
    </row>
    <row r="7516" spans="35:37">
      <c r="AI7516" s="468">
        <v>49888</v>
      </c>
      <c r="AJ7516" s="5" t="s">
        <v>3617</v>
      </c>
      <c r="AK7516" s="5" t="s">
        <v>3620</v>
      </c>
    </row>
    <row r="7517" spans="35:37">
      <c r="AI7517" s="468">
        <v>49889</v>
      </c>
      <c r="AJ7517" s="5" t="s">
        <v>3619</v>
      </c>
      <c r="AK7517" s="5" t="s">
        <v>3622</v>
      </c>
    </row>
    <row r="7518" spans="35:37">
      <c r="AI7518" s="468">
        <v>49890</v>
      </c>
      <c r="AJ7518" s="5" t="s">
        <v>3621</v>
      </c>
      <c r="AK7518" s="5" t="s">
        <v>3623</v>
      </c>
    </row>
    <row r="7519" spans="35:37">
      <c r="AI7519" s="468">
        <v>49891</v>
      </c>
      <c r="AJ7519" s="5" t="s">
        <v>3579</v>
      </c>
      <c r="AK7519" s="5" t="s">
        <v>3625</v>
      </c>
    </row>
    <row r="7520" spans="35:37">
      <c r="AI7520" s="468">
        <v>49892</v>
      </c>
      <c r="AJ7520" s="5" t="s">
        <v>3624</v>
      </c>
      <c r="AK7520" s="5" t="s">
        <v>3627</v>
      </c>
    </row>
    <row r="7521" spans="35:37">
      <c r="AI7521" s="468">
        <v>49893</v>
      </c>
      <c r="AJ7521" s="5" t="s">
        <v>3626</v>
      </c>
      <c r="AK7521" s="5" t="s">
        <v>3618</v>
      </c>
    </row>
    <row r="7522" spans="35:37">
      <c r="AI7522" s="468">
        <v>49894</v>
      </c>
      <c r="AJ7522" s="5" t="s">
        <v>3628</v>
      </c>
      <c r="AK7522" s="5" t="s">
        <v>3620</v>
      </c>
    </row>
    <row r="7523" spans="35:37">
      <c r="AI7523" s="468">
        <v>49895</v>
      </c>
      <c r="AJ7523" s="5" t="s">
        <v>3617</v>
      </c>
      <c r="AK7523" s="5" t="s">
        <v>3622</v>
      </c>
    </row>
    <row r="7524" spans="35:37">
      <c r="AI7524" s="468">
        <v>49896</v>
      </c>
      <c r="AJ7524" s="5" t="s">
        <v>3619</v>
      </c>
      <c r="AK7524" s="5" t="s">
        <v>3623</v>
      </c>
    </row>
    <row r="7525" spans="35:37">
      <c r="AI7525" s="468">
        <v>49897</v>
      </c>
      <c r="AJ7525" s="5" t="s">
        <v>3621</v>
      </c>
      <c r="AK7525" s="5" t="s">
        <v>3625</v>
      </c>
    </row>
    <row r="7526" spans="35:37">
      <c r="AI7526" s="468">
        <v>49898</v>
      </c>
      <c r="AJ7526" s="5" t="s">
        <v>3579</v>
      </c>
      <c r="AK7526" s="5" t="s">
        <v>3627</v>
      </c>
    </row>
    <row r="7527" spans="35:37">
      <c r="AI7527" s="468">
        <v>49899</v>
      </c>
      <c r="AJ7527" s="5" t="s">
        <v>3624</v>
      </c>
      <c r="AK7527" s="5" t="s">
        <v>3618</v>
      </c>
    </row>
    <row r="7528" spans="35:37">
      <c r="AI7528" s="468">
        <v>49900</v>
      </c>
      <c r="AJ7528" s="5" t="s">
        <v>3626</v>
      </c>
      <c r="AK7528" s="5" t="s">
        <v>3620</v>
      </c>
    </row>
    <row r="7529" spans="35:37">
      <c r="AI7529" s="468">
        <v>49901</v>
      </c>
      <c r="AJ7529" s="5" t="s">
        <v>3628</v>
      </c>
      <c r="AK7529" s="5" t="s">
        <v>3622</v>
      </c>
    </row>
    <row r="7530" spans="35:37">
      <c r="AI7530" s="468">
        <v>49902</v>
      </c>
      <c r="AJ7530" s="5" t="s">
        <v>3617</v>
      </c>
      <c r="AK7530" s="5" t="s">
        <v>3623</v>
      </c>
    </row>
    <row r="7531" spans="35:37">
      <c r="AI7531" s="468">
        <v>49903</v>
      </c>
      <c r="AJ7531" s="5" t="s">
        <v>3619</v>
      </c>
      <c r="AK7531" s="5" t="s">
        <v>3625</v>
      </c>
    </row>
    <row r="7532" spans="35:37">
      <c r="AI7532" s="468">
        <v>49904</v>
      </c>
      <c r="AJ7532" s="5" t="s">
        <v>3621</v>
      </c>
      <c r="AK7532" s="5" t="s">
        <v>3627</v>
      </c>
    </row>
    <row r="7533" spans="35:37">
      <c r="AI7533" s="468">
        <v>49905</v>
      </c>
      <c r="AJ7533" s="5" t="s">
        <v>3579</v>
      </c>
      <c r="AK7533" s="5" t="s">
        <v>3618</v>
      </c>
    </row>
    <row r="7534" spans="35:37">
      <c r="AI7534" s="468">
        <v>49906</v>
      </c>
      <c r="AJ7534" s="5" t="s">
        <v>3624</v>
      </c>
      <c r="AK7534" s="5" t="s">
        <v>3620</v>
      </c>
    </row>
    <row r="7535" spans="35:37">
      <c r="AI7535" s="468">
        <v>49907</v>
      </c>
      <c r="AJ7535" s="5" t="s">
        <v>3626</v>
      </c>
      <c r="AK7535" s="5" t="s">
        <v>3622</v>
      </c>
    </row>
    <row r="7536" spans="35:37">
      <c r="AI7536" s="468">
        <v>49908</v>
      </c>
      <c r="AJ7536" s="5" t="s">
        <v>3628</v>
      </c>
      <c r="AK7536" s="5" t="s">
        <v>3623</v>
      </c>
    </row>
    <row r="7537" spans="35:37">
      <c r="AI7537" s="468">
        <v>49909</v>
      </c>
      <c r="AJ7537" s="5" t="s">
        <v>3617</v>
      </c>
      <c r="AK7537" s="5" t="s">
        <v>3627</v>
      </c>
    </row>
    <row r="7538" spans="35:37">
      <c r="AI7538" s="468">
        <v>49910</v>
      </c>
      <c r="AJ7538" s="5" t="s">
        <v>3619</v>
      </c>
      <c r="AK7538" s="5" t="s">
        <v>3618</v>
      </c>
    </row>
    <row r="7539" spans="35:37">
      <c r="AI7539" s="468">
        <v>49911</v>
      </c>
      <c r="AJ7539" s="5" t="s">
        <v>3621</v>
      </c>
      <c r="AK7539" s="5" t="s">
        <v>3620</v>
      </c>
    </row>
    <row r="7540" spans="35:37">
      <c r="AI7540" s="468">
        <v>49912</v>
      </c>
      <c r="AJ7540" s="5" t="s">
        <v>3579</v>
      </c>
      <c r="AK7540" s="5" t="s">
        <v>3622</v>
      </c>
    </row>
    <row r="7541" spans="35:37">
      <c r="AI7541" s="468">
        <v>49913</v>
      </c>
      <c r="AJ7541" s="5" t="s">
        <v>3624</v>
      </c>
      <c r="AK7541" s="5" t="s">
        <v>3623</v>
      </c>
    </row>
    <row r="7542" spans="35:37">
      <c r="AI7542" s="468">
        <v>49914</v>
      </c>
      <c r="AJ7542" s="5" t="s">
        <v>3626</v>
      </c>
      <c r="AK7542" s="5" t="s">
        <v>3625</v>
      </c>
    </row>
    <row r="7543" spans="35:37">
      <c r="AI7543" s="468">
        <v>49915</v>
      </c>
      <c r="AJ7543" s="5" t="s">
        <v>3628</v>
      </c>
      <c r="AK7543" s="5" t="s">
        <v>3627</v>
      </c>
    </row>
    <row r="7544" spans="35:37">
      <c r="AI7544" s="468">
        <v>49916</v>
      </c>
      <c r="AJ7544" s="5" t="s">
        <v>3617</v>
      </c>
      <c r="AK7544" s="5" t="s">
        <v>3618</v>
      </c>
    </row>
    <row r="7545" spans="35:37">
      <c r="AI7545" s="468">
        <v>49917</v>
      </c>
      <c r="AJ7545" s="5" t="s">
        <v>3619</v>
      </c>
      <c r="AK7545" s="5" t="s">
        <v>3620</v>
      </c>
    </row>
    <row r="7546" spans="35:37">
      <c r="AI7546" s="468">
        <v>49918</v>
      </c>
      <c r="AJ7546" s="5" t="s">
        <v>3621</v>
      </c>
      <c r="AK7546" s="5" t="s">
        <v>3622</v>
      </c>
    </row>
    <row r="7547" spans="35:37">
      <c r="AI7547" s="468">
        <v>49919</v>
      </c>
      <c r="AJ7547" s="5" t="s">
        <v>3579</v>
      </c>
      <c r="AK7547" s="5" t="s">
        <v>3623</v>
      </c>
    </row>
    <row r="7548" spans="35:37">
      <c r="AI7548" s="468">
        <v>49920</v>
      </c>
      <c r="AJ7548" s="5" t="s">
        <v>3624</v>
      </c>
      <c r="AK7548" s="5" t="s">
        <v>3625</v>
      </c>
    </row>
    <row r="7549" spans="35:37">
      <c r="AI7549" s="468">
        <v>49921</v>
      </c>
      <c r="AJ7549" s="5" t="s">
        <v>3626</v>
      </c>
      <c r="AK7549" s="5" t="s">
        <v>3627</v>
      </c>
    </row>
    <row r="7550" spans="35:37">
      <c r="AI7550" s="468">
        <v>49922</v>
      </c>
      <c r="AJ7550" s="5" t="s">
        <v>3628</v>
      </c>
      <c r="AK7550" s="5" t="s">
        <v>3618</v>
      </c>
    </row>
    <row r="7551" spans="35:37">
      <c r="AI7551" s="468">
        <v>49923</v>
      </c>
      <c r="AJ7551" s="5" t="s">
        <v>3617</v>
      </c>
      <c r="AK7551" s="5" t="s">
        <v>3620</v>
      </c>
    </row>
    <row r="7552" spans="35:37">
      <c r="AI7552" s="468">
        <v>49924</v>
      </c>
      <c r="AJ7552" s="5" t="s">
        <v>3619</v>
      </c>
      <c r="AK7552" s="5" t="s">
        <v>3622</v>
      </c>
    </row>
    <row r="7553" spans="35:37">
      <c r="AI7553" s="468">
        <v>49925</v>
      </c>
      <c r="AJ7553" s="5" t="s">
        <v>3621</v>
      </c>
      <c r="AK7553" s="5" t="s">
        <v>3623</v>
      </c>
    </row>
    <row r="7554" spans="35:37">
      <c r="AI7554" s="468">
        <v>49926</v>
      </c>
      <c r="AJ7554" s="5" t="s">
        <v>3579</v>
      </c>
      <c r="AK7554" s="5" t="s">
        <v>3625</v>
      </c>
    </row>
    <row r="7555" spans="35:37">
      <c r="AI7555" s="468">
        <v>49927</v>
      </c>
      <c r="AJ7555" s="5" t="s">
        <v>3624</v>
      </c>
      <c r="AK7555" s="5" t="s">
        <v>3627</v>
      </c>
    </row>
    <row r="7556" spans="35:37">
      <c r="AI7556" s="468">
        <v>49928</v>
      </c>
      <c r="AJ7556" s="5" t="s">
        <v>3626</v>
      </c>
      <c r="AK7556" s="5" t="s">
        <v>3618</v>
      </c>
    </row>
    <row r="7557" spans="35:37">
      <c r="AI7557" s="468">
        <v>49929</v>
      </c>
      <c r="AJ7557" s="5" t="s">
        <v>3628</v>
      </c>
      <c r="AK7557" s="5" t="s">
        <v>3620</v>
      </c>
    </row>
    <row r="7558" spans="35:37">
      <c r="AI7558" s="468">
        <v>49930</v>
      </c>
      <c r="AJ7558" s="5" t="s">
        <v>3617</v>
      </c>
      <c r="AK7558" s="5" t="s">
        <v>3622</v>
      </c>
    </row>
    <row r="7559" spans="35:37">
      <c r="AI7559" s="468">
        <v>49931</v>
      </c>
      <c r="AJ7559" s="5" t="s">
        <v>3619</v>
      </c>
      <c r="AK7559" s="5" t="s">
        <v>3623</v>
      </c>
    </row>
    <row r="7560" spans="35:37">
      <c r="AI7560" s="468">
        <v>49932</v>
      </c>
      <c r="AJ7560" s="5" t="s">
        <v>3621</v>
      </c>
      <c r="AK7560" s="5" t="s">
        <v>3625</v>
      </c>
    </row>
    <row r="7561" spans="35:37">
      <c r="AI7561" s="468">
        <v>49933</v>
      </c>
      <c r="AJ7561" s="5" t="s">
        <v>3579</v>
      </c>
      <c r="AK7561" s="5" t="s">
        <v>3627</v>
      </c>
    </row>
    <row r="7562" spans="35:37">
      <c r="AI7562" s="468">
        <v>49934</v>
      </c>
      <c r="AJ7562" s="5" t="s">
        <v>3624</v>
      </c>
      <c r="AK7562" s="5" t="s">
        <v>3618</v>
      </c>
    </row>
    <row r="7563" spans="35:37">
      <c r="AI7563" s="468">
        <v>49935</v>
      </c>
      <c r="AJ7563" s="5" t="s">
        <v>3626</v>
      </c>
      <c r="AK7563" s="5" t="s">
        <v>3620</v>
      </c>
    </row>
    <row r="7564" spans="35:37">
      <c r="AI7564" s="468">
        <v>49936</v>
      </c>
      <c r="AJ7564" s="5" t="s">
        <v>3628</v>
      </c>
      <c r="AK7564" s="5" t="s">
        <v>3622</v>
      </c>
    </row>
    <row r="7565" spans="35:37">
      <c r="AI7565" s="468">
        <v>49937</v>
      </c>
      <c r="AJ7565" s="5" t="s">
        <v>3617</v>
      </c>
      <c r="AK7565" s="5" t="s">
        <v>3623</v>
      </c>
    </row>
    <row r="7566" spans="35:37">
      <c r="AI7566" s="468">
        <v>49938</v>
      </c>
      <c r="AJ7566" s="5" t="s">
        <v>3619</v>
      </c>
      <c r="AK7566" s="5" t="s">
        <v>3618</v>
      </c>
    </row>
    <row r="7567" spans="35:37">
      <c r="AI7567" s="468">
        <v>49939</v>
      </c>
      <c r="AJ7567" s="5" t="s">
        <v>3621</v>
      </c>
      <c r="AK7567" s="5" t="s">
        <v>3620</v>
      </c>
    </row>
    <row r="7568" spans="35:37">
      <c r="AI7568" s="468">
        <v>49940</v>
      </c>
      <c r="AJ7568" s="5" t="s">
        <v>3579</v>
      </c>
      <c r="AK7568" s="5" t="s">
        <v>3622</v>
      </c>
    </row>
    <row r="7569" spans="35:37">
      <c r="AI7569" s="468">
        <v>49941</v>
      </c>
      <c r="AJ7569" s="5" t="s">
        <v>3624</v>
      </c>
      <c r="AK7569" s="5" t="s">
        <v>3623</v>
      </c>
    </row>
    <row r="7570" spans="35:37">
      <c r="AI7570" s="468">
        <v>49942</v>
      </c>
      <c r="AJ7570" s="5" t="s">
        <v>3626</v>
      </c>
      <c r="AK7570" s="5" t="s">
        <v>3625</v>
      </c>
    </row>
    <row r="7571" spans="35:37">
      <c r="AI7571" s="468">
        <v>49943</v>
      </c>
      <c r="AJ7571" s="5" t="s">
        <v>3628</v>
      </c>
      <c r="AK7571" s="5" t="s">
        <v>3627</v>
      </c>
    </row>
    <row r="7572" spans="35:37">
      <c r="AI7572" s="468">
        <v>49944</v>
      </c>
      <c r="AJ7572" s="5" t="s">
        <v>3617</v>
      </c>
      <c r="AK7572" s="5" t="s">
        <v>3618</v>
      </c>
    </row>
    <row r="7573" spans="35:37">
      <c r="AI7573" s="468">
        <v>49945</v>
      </c>
      <c r="AJ7573" s="5" t="s">
        <v>3619</v>
      </c>
      <c r="AK7573" s="5" t="s">
        <v>3620</v>
      </c>
    </row>
    <row r="7574" spans="35:37">
      <c r="AI7574" s="468">
        <v>49946</v>
      </c>
      <c r="AJ7574" s="5" t="s">
        <v>3621</v>
      </c>
      <c r="AK7574" s="5" t="s">
        <v>3622</v>
      </c>
    </row>
    <row r="7575" spans="35:37">
      <c r="AI7575" s="468">
        <v>49947</v>
      </c>
      <c r="AJ7575" s="5" t="s">
        <v>3579</v>
      </c>
      <c r="AK7575" s="5" t="s">
        <v>3623</v>
      </c>
    </row>
    <row r="7576" spans="35:37">
      <c r="AI7576" s="468">
        <v>49948</v>
      </c>
      <c r="AJ7576" s="5" t="s">
        <v>3624</v>
      </c>
      <c r="AK7576" s="5" t="s">
        <v>3625</v>
      </c>
    </row>
    <row r="7577" spans="35:37">
      <c r="AI7577" s="468">
        <v>49949</v>
      </c>
      <c r="AJ7577" s="5" t="s">
        <v>3626</v>
      </c>
      <c r="AK7577" s="5" t="s">
        <v>3627</v>
      </c>
    </row>
    <row r="7578" spans="35:37">
      <c r="AI7578" s="468">
        <v>49950</v>
      </c>
      <c r="AJ7578" s="5" t="s">
        <v>3628</v>
      </c>
      <c r="AK7578" s="5" t="s">
        <v>3618</v>
      </c>
    </row>
    <row r="7579" spans="35:37">
      <c r="AI7579" s="468">
        <v>49951</v>
      </c>
      <c r="AJ7579" s="5" t="s">
        <v>3617</v>
      </c>
      <c r="AK7579" s="5" t="s">
        <v>3620</v>
      </c>
    </row>
    <row r="7580" spans="35:37">
      <c r="AI7580" s="468">
        <v>49952</v>
      </c>
      <c r="AJ7580" s="5" t="s">
        <v>3619</v>
      </c>
      <c r="AK7580" s="5" t="s">
        <v>3622</v>
      </c>
    </row>
    <row r="7581" spans="35:37">
      <c r="AI7581" s="468">
        <v>49953</v>
      </c>
      <c r="AJ7581" s="5" t="s">
        <v>3621</v>
      </c>
      <c r="AK7581" s="5" t="s">
        <v>3623</v>
      </c>
    </row>
    <row r="7582" spans="35:37">
      <c r="AI7582" s="468">
        <v>49954</v>
      </c>
      <c r="AJ7582" s="5" t="s">
        <v>3579</v>
      </c>
      <c r="AK7582" s="5" t="s">
        <v>3625</v>
      </c>
    </row>
    <row r="7583" spans="35:37">
      <c r="AI7583" s="468">
        <v>49955</v>
      </c>
      <c r="AJ7583" s="5" t="s">
        <v>3624</v>
      </c>
      <c r="AK7583" s="5" t="s">
        <v>3627</v>
      </c>
    </row>
    <row r="7584" spans="35:37">
      <c r="AI7584" s="468">
        <v>49956</v>
      </c>
      <c r="AJ7584" s="5" t="s">
        <v>3626</v>
      </c>
      <c r="AK7584" s="5" t="s">
        <v>3618</v>
      </c>
    </row>
    <row r="7585" spans="35:37">
      <c r="AI7585" s="468">
        <v>49957</v>
      </c>
      <c r="AJ7585" s="5" t="s">
        <v>3628</v>
      </c>
      <c r="AK7585" s="5" t="s">
        <v>3620</v>
      </c>
    </row>
    <row r="7586" spans="35:37">
      <c r="AI7586" s="468">
        <v>49958</v>
      </c>
      <c r="AJ7586" s="5" t="s">
        <v>3617</v>
      </c>
      <c r="AK7586" s="5" t="s">
        <v>3622</v>
      </c>
    </row>
    <row r="7587" spans="35:37">
      <c r="AI7587" s="468">
        <v>49959</v>
      </c>
      <c r="AJ7587" s="5" t="s">
        <v>3619</v>
      </c>
      <c r="AK7587" s="5" t="s">
        <v>3623</v>
      </c>
    </row>
    <row r="7588" spans="35:37">
      <c r="AI7588" s="468">
        <v>49960</v>
      </c>
      <c r="AJ7588" s="5" t="s">
        <v>3621</v>
      </c>
      <c r="AK7588" s="5" t="s">
        <v>3625</v>
      </c>
    </row>
    <row r="7589" spans="35:37">
      <c r="AI7589" s="468">
        <v>49961</v>
      </c>
      <c r="AJ7589" s="5" t="s">
        <v>3579</v>
      </c>
      <c r="AK7589" s="5" t="s">
        <v>3627</v>
      </c>
    </row>
    <row r="7590" spans="35:37">
      <c r="AI7590" s="468">
        <v>49962</v>
      </c>
      <c r="AJ7590" s="5" t="s">
        <v>3624</v>
      </c>
      <c r="AK7590" s="5" t="s">
        <v>3618</v>
      </c>
    </row>
    <row r="7591" spans="35:37">
      <c r="AI7591" s="468">
        <v>49963</v>
      </c>
      <c r="AJ7591" s="5" t="s">
        <v>3626</v>
      </c>
      <c r="AK7591" s="5" t="s">
        <v>3620</v>
      </c>
    </row>
    <row r="7592" spans="35:37">
      <c r="AI7592" s="468">
        <v>49964</v>
      </c>
      <c r="AJ7592" s="5" t="s">
        <v>3628</v>
      </c>
      <c r="AK7592" s="5" t="s">
        <v>3622</v>
      </c>
    </row>
    <row r="7593" spans="35:37">
      <c r="AI7593" s="468">
        <v>49965</v>
      </c>
      <c r="AJ7593" s="5" t="s">
        <v>3617</v>
      </c>
      <c r="AK7593" s="5" t="s">
        <v>3623</v>
      </c>
    </row>
    <row r="7594" spans="35:37">
      <c r="AI7594" s="468">
        <v>49966</v>
      </c>
      <c r="AJ7594" s="5" t="s">
        <v>3619</v>
      </c>
      <c r="AK7594" s="5" t="s">
        <v>3625</v>
      </c>
    </row>
    <row r="7595" spans="35:37">
      <c r="AI7595" s="468">
        <v>49967</v>
      </c>
      <c r="AJ7595" s="5" t="s">
        <v>3621</v>
      </c>
      <c r="AK7595" s="5" t="s">
        <v>3620</v>
      </c>
    </row>
    <row r="7596" spans="35:37">
      <c r="AI7596" s="468">
        <v>49968</v>
      </c>
      <c r="AJ7596" s="5" t="s">
        <v>3579</v>
      </c>
      <c r="AK7596" s="5" t="s">
        <v>3622</v>
      </c>
    </row>
    <row r="7597" spans="35:37">
      <c r="AI7597" s="468">
        <v>49969</v>
      </c>
      <c r="AJ7597" s="5" t="s">
        <v>3624</v>
      </c>
      <c r="AK7597" s="5" t="s">
        <v>3623</v>
      </c>
    </row>
    <row r="7598" spans="35:37">
      <c r="AI7598" s="468">
        <v>49970</v>
      </c>
      <c r="AJ7598" s="5" t="s">
        <v>3626</v>
      </c>
      <c r="AK7598" s="5" t="s">
        <v>3625</v>
      </c>
    </row>
    <row r="7599" spans="35:37">
      <c r="AI7599" s="468">
        <v>49971</v>
      </c>
      <c r="AJ7599" s="5" t="s">
        <v>3628</v>
      </c>
      <c r="AK7599" s="5" t="s">
        <v>3627</v>
      </c>
    </row>
    <row r="7600" spans="35:37">
      <c r="AI7600" s="468">
        <v>49972</v>
      </c>
      <c r="AJ7600" s="5" t="s">
        <v>3617</v>
      </c>
      <c r="AK7600" s="5" t="s">
        <v>3618</v>
      </c>
    </row>
    <row r="7601" spans="35:37">
      <c r="AI7601" s="468">
        <v>49973</v>
      </c>
      <c r="AJ7601" s="5" t="s">
        <v>3619</v>
      </c>
      <c r="AK7601" s="5" t="s">
        <v>3620</v>
      </c>
    </row>
    <row r="7602" spans="35:37">
      <c r="AI7602" s="468">
        <v>49974</v>
      </c>
      <c r="AJ7602" s="5" t="s">
        <v>3621</v>
      </c>
      <c r="AK7602" s="5" t="s">
        <v>3622</v>
      </c>
    </row>
    <row r="7603" spans="35:37">
      <c r="AI7603" s="468">
        <v>49975</v>
      </c>
      <c r="AJ7603" s="5" t="s">
        <v>3579</v>
      </c>
      <c r="AK7603" s="5" t="s">
        <v>3623</v>
      </c>
    </row>
    <row r="7604" spans="35:37">
      <c r="AI7604" s="468">
        <v>49976</v>
      </c>
      <c r="AJ7604" s="5" t="s">
        <v>3624</v>
      </c>
      <c r="AK7604" s="5" t="s">
        <v>3625</v>
      </c>
    </row>
    <row r="7605" spans="35:37">
      <c r="AI7605" s="468">
        <v>49977</v>
      </c>
      <c r="AJ7605" s="5" t="s">
        <v>3626</v>
      </c>
      <c r="AK7605" s="5" t="s">
        <v>3627</v>
      </c>
    </row>
    <row r="7606" spans="35:37">
      <c r="AI7606" s="468">
        <v>49978</v>
      </c>
      <c r="AJ7606" s="5" t="s">
        <v>3628</v>
      </c>
      <c r="AK7606" s="5" t="s">
        <v>3618</v>
      </c>
    </row>
    <row r="7607" spans="35:37">
      <c r="AI7607" s="468">
        <v>49979</v>
      </c>
      <c r="AJ7607" s="5" t="s">
        <v>3617</v>
      </c>
      <c r="AK7607" s="5" t="s">
        <v>3620</v>
      </c>
    </row>
    <row r="7608" spans="35:37">
      <c r="AI7608" s="468">
        <v>49980</v>
      </c>
      <c r="AJ7608" s="5" t="s">
        <v>3619</v>
      </c>
      <c r="AK7608" s="5" t="s">
        <v>3622</v>
      </c>
    </row>
    <row r="7609" spans="35:37">
      <c r="AI7609" s="468">
        <v>49981</v>
      </c>
      <c r="AJ7609" s="5" t="s">
        <v>3621</v>
      </c>
      <c r="AK7609" s="5" t="s">
        <v>3623</v>
      </c>
    </row>
    <row r="7610" spans="35:37">
      <c r="AI7610" s="468">
        <v>49982</v>
      </c>
      <c r="AJ7610" s="5" t="s">
        <v>3579</v>
      </c>
      <c r="AK7610" s="5" t="s">
        <v>3625</v>
      </c>
    </row>
    <row r="7611" spans="35:37">
      <c r="AI7611" s="468">
        <v>49983</v>
      </c>
      <c r="AJ7611" s="5" t="s">
        <v>3624</v>
      </c>
      <c r="AK7611" s="5" t="s">
        <v>3627</v>
      </c>
    </row>
    <row r="7612" spans="35:37">
      <c r="AI7612" s="468">
        <v>49984</v>
      </c>
      <c r="AJ7612" s="5" t="s">
        <v>3626</v>
      </c>
      <c r="AK7612" s="5" t="s">
        <v>3618</v>
      </c>
    </row>
    <row r="7613" spans="35:37">
      <c r="AI7613" s="468">
        <v>49985</v>
      </c>
      <c r="AJ7613" s="5" t="s">
        <v>3628</v>
      </c>
      <c r="AK7613" s="5" t="s">
        <v>3620</v>
      </c>
    </row>
    <row r="7614" spans="35:37">
      <c r="AI7614" s="468">
        <v>49986</v>
      </c>
      <c r="AJ7614" s="5" t="s">
        <v>3617</v>
      </c>
      <c r="AK7614" s="5" t="s">
        <v>3622</v>
      </c>
    </row>
    <row r="7615" spans="35:37">
      <c r="AI7615" s="468">
        <v>49987</v>
      </c>
      <c r="AJ7615" s="5" t="s">
        <v>3619</v>
      </c>
      <c r="AK7615" s="5" t="s">
        <v>3623</v>
      </c>
    </row>
    <row r="7616" spans="35:37">
      <c r="AI7616" s="468">
        <v>49988</v>
      </c>
      <c r="AJ7616" s="5" t="s">
        <v>3621</v>
      </c>
      <c r="AK7616" s="5" t="s">
        <v>3625</v>
      </c>
    </row>
    <row r="7617" spans="35:37">
      <c r="AI7617" s="468">
        <v>49989</v>
      </c>
      <c r="AJ7617" s="5" t="s">
        <v>3579</v>
      </c>
      <c r="AK7617" s="5" t="s">
        <v>3627</v>
      </c>
    </row>
    <row r="7618" spans="35:37">
      <c r="AI7618" s="468">
        <v>49990</v>
      </c>
      <c r="AJ7618" s="5" t="s">
        <v>3624</v>
      </c>
      <c r="AK7618" s="5" t="s">
        <v>3618</v>
      </c>
    </row>
    <row r="7619" spans="35:37">
      <c r="AI7619" s="468">
        <v>49991</v>
      </c>
      <c r="AJ7619" s="5" t="s">
        <v>3626</v>
      </c>
      <c r="AK7619" s="5" t="s">
        <v>3620</v>
      </c>
    </row>
    <row r="7620" spans="35:37">
      <c r="AI7620" s="468">
        <v>49992</v>
      </c>
      <c r="AJ7620" s="5" t="s">
        <v>3628</v>
      </c>
      <c r="AK7620" s="5" t="s">
        <v>3622</v>
      </c>
    </row>
    <row r="7621" spans="35:37">
      <c r="AI7621" s="468">
        <v>49993</v>
      </c>
      <c r="AJ7621" s="5" t="s">
        <v>3617</v>
      </c>
      <c r="AK7621" s="5" t="s">
        <v>3623</v>
      </c>
    </row>
    <row r="7622" spans="35:37">
      <c r="AI7622" s="468">
        <v>49994</v>
      </c>
      <c r="AJ7622" s="5" t="s">
        <v>3619</v>
      </c>
      <c r="AK7622" s="5" t="s">
        <v>3625</v>
      </c>
    </row>
    <row r="7623" spans="35:37">
      <c r="AI7623" s="468">
        <v>49995</v>
      </c>
      <c r="AJ7623" s="5" t="s">
        <v>3621</v>
      </c>
      <c r="AK7623" s="5" t="s">
        <v>3627</v>
      </c>
    </row>
    <row r="7624" spans="35:37">
      <c r="AI7624" s="468">
        <v>49996</v>
      </c>
      <c r="AJ7624" s="5" t="s">
        <v>3579</v>
      </c>
      <c r="AK7624" s="5" t="s">
        <v>3618</v>
      </c>
    </row>
    <row r="7625" spans="35:37">
      <c r="AI7625" s="468">
        <v>49997</v>
      </c>
      <c r="AJ7625" s="5" t="s">
        <v>3624</v>
      </c>
      <c r="AK7625" s="5" t="s">
        <v>3622</v>
      </c>
    </row>
    <row r="7626" spans="35:37">
      <c r="AI7626" s="468">
        <v>49998</v>
      </c>
      <c r="AJ7626" s="5" t="s">
        <v>3626</v>
      </c>
      <c r="AK7626" s="5" t="s">
        <v>3623</v>
      </c>
    </row>
    <row r="7627" spans="35:37">
      <c r="AI7627" s="468">
        <v>49999</v>
      </c>
      <c r="AJ7627" s="5" t="s">
        <v>3628</v>
      </c>
      <c r="AK7627" s="5" t="s">
        <v>3625</v>
      </c>
    </row>
    <row r="7628" spans="35:37">
      <c r="AI7628" s="468">
        <v>50000</v>
      </c>
      <c r="AJ7628" s="5" t="s">
        <v>3617</v>
      </c>
      <c r="AK7628" s="5" t="s">
        <v>3627</v>
      </c>
    </row>
    <row r="7629" spans="35:37">
      <c r="AI7629" s="468">
        <v>50001</v>
      </c>
      <c r="AJ7629" s="5" t="s">
        <v>3619</v>
      </c>
      <c r="AK7629" s="5" t="s">
        <v>3618</v>
      </c>
    </row>
    <row r="7630" spans="35:37">
      <c r="AI7630" s="468">
        <v>50002</v>
      </c>
      <c r="AJ7630" s="5" t="s">
        <v>3621</v>
      </c>
      <c r="AK7630" s="5" t="s">
        <v>3620</v>
      </c>
    </row>
    <row r="7631" spans="35:37">
      <c r="AI7631" s="468">
        <v>50003</v>
      </c>
      <c r="AJ7631" s="5" t="s">
        <v>3579</v>
      </c>
      <c r="AK7631" s="5" t="s">
        <v>3622</v>
      </c>
    </row>
    <row r="7632" spans="35:37">
      <c r="AI7632" s="468">
        <v>50004</v>
      </c>
      <c r="AJ7632" s="5" t="s">
        <v>3624</v>
      </c>
      <c r="AK7632" s="5" t="s">
        <v>3623</v>
      </c>
    </row>
    <row r="7633" spans="35:37">
      <c r="AI7633" s="468">
        <v>50005</v>
      </c>
      <c r="AJ7633" s="5" t="s">
        <v>3626</v>
      </c>
      <c r="AK7633" s="5" t="s">
        <v>3625</v>
      </c>
    </row>
    <row r="7634" spans="35:37">
      <c r="AI7634" s="468">
        <v>50006</v>
      </c>
      <c r="AJ7634" s="5" t="s">
        <v>3628</v>
      </c>
      <c r="AK7634" s="5" t="s">
        <v>3627</v>
      </c>
    </row>
    <row r="7635" spans="35:37">
      <c r="AI7635" s="468">
        <v>50007</v>
      </c>
      <c r="AJ7635" s="5" t="s">
        <v>3617</v>
      </c>
      <c r="AK7635" s="5" t="s">
        <v>3618</v>
      </c>
    </row>
    <row r="7636" spans="35:37">
      <c r="AI7636" s="468">
        <v>50008</v>
      </c>
      <c r="AJ7636" s="5" t="s">
        <v>3619</v>
      </c>
      <c r="AK7636" s="5" t="s">
        <v>3620</v>
      </c>
    </row>
    <row r="7637" spans="35:37">
      <c r="AI7637" s="468">
        <v>50009</v>
      </c>
      <c r="AJ7637" s="5" t="s">
        <v>3621</v>
      </c>
      <c r="AK7637" s="5" t="s">
        <v>3622</v>
      </c>
    </row>
    <row r="7638" spans="35:37">
      <c r="AI7638" s="468">
        <v>50010</v>
      </c>
      <c r="AJ7638" s="5" t="s">
        <v>3579</v>
      </c>
      <c r="AK7638" s="5" t="s">
        <v>3623</v>
      </c>
    </row>
    <row r="7639" spans="35:37">
      <c r="AI7639" s="468">
        <v>50011</v>
      </c>
      <c r="AJ7639" s="5" t="s">
        <v>3624</v>
      </c>
      <c r="AK7639" s="5" t="s">
        <v>3625</v>
      </c>
    </row>
    <row r="7640" spans="35:37">
      <c r="AI7640" s="468">
        <v>50012</v>
      </c>
      <c r="AJ7640" s="5" t="s">
        <v>3626</v>
      </c>
      <c r="AK7640" s="5" t="s">
        <v>3627</v>
      </c>
    </row>
    <row r="7641" spans="35:37">
      <c r="AI7641" s="468">
        <v>50013</v>
      </c>
      <c r="AJ7641" s="5" t="s">
        <v>3628</v>
      </c>
      <c r="AK7641" s="5" t="s">
        <v>3618</v>
      </c>
    </row>
    <row r="7642" spans="35:37">
      <c r="AI7642" s="468">
        <v>50014</v>
      </c>
      <c r="AJ7642" s="5" t="s">
        <v>3617</v>
      </c>
      <c r="AK7642" s="5" t="s">
        <v>3620</v>
      </c>
    </row>
    <row r="7643" spans="35:37">
      <c r="AI7643" s="468">
        <v>50015</v>
      </c>
      <c r="AJ7643" s="5" t="s">
        <v>3619</v>
      </c>
      <c r="AK7643" s="5" t="s">
        <v>3622</v>
      </c>
    </row>
    <row r="7644" spans="35:37">
      <c r="AI7644" s="468">
        <v>50016</v>
      </c>
      <c r="AJ7644" s="5" t="s">
        <v>3621</v>
      </c>
      <c r="AK7644" s="5" t="s">
        <v>3623</v>
      </c>
    </row>
    <row r="7645" spans="35:37">
      <c r="AI7645" s="468">
        <v>50017</v>
      </c>
      <c r="AJ7645" s="5" t="s">
        <v>3579</v>
      </c>
      <c r="AK7645" s="5" t="s">
        <v>3625</v>
      </c>
    </row>
    <row r="7646" spans="35:37">
      <c r="AI7646" s="468">
        <v>50018</v>
      </c>
      <c r="AJ7646" s="5" t="s">
        <v>3624</v>
      </c>
      <c r="AK7646" s="5" t="s">
        <v>3627</v>
      </c>
    </row>
    <row r="7647" spans="35:37">
      <c r="AI7647" s="468">
        <v>50019</v>
      </c>
      <c r="AJ7647" s="5" t="s">
        <v>3626</v>
      </c>
      <c r="AK7647" s="5" t="s">
        <v>3618</v>
      </c>
    </row>
    <row r="7648" spans="35:37">
      <c r="AI7648" s="468">
        <v>50020</v>
      </c>
      <c r="AJ7648" s="5" t="s">
        <v>3628</v>
      </c>
      <c r="AK7648" s="5" t="s">
        <v>3620</v>
      </c>
    </row>
    <row r="7649" spans="35:37">
      <c r="AI7649" s="468">
        <v>50021</v>
      </c>
      <c r="AJ7649" s="5" t="s">
        <v>3617</v>
      </c>
      <c r="AK7649" s="5" t="s">
        <v>3622</v>
      </c>
    </row>
    <row r="7650" spans="35:37">
      <c r="AI7650" s="468">
        <v>50022</v>
      </c>
      <c r="AJ7650" s="5" t="s">
        <v>3619</v>
      </c>
      <c r="AK7650" s="5" t="s">
        <v>3623</v>
      </c>
    </row>
    <row r="7651" spans="35:37">
      <c r="AI7651" s="468">
        <v>50023</v>
      </c>
      <c r="AJ7651" s="5" t="s">
        <v>3621</v>
      </c>
      <c r="AK7651" s="5" t="s">
        <v>3625</v>
      </c>
    </row>
    <row r="7652" spans="35:37">
      <c r="AI7652" s="468">
        <v>50024</v>
      </c>
      <c r="AJ7652" s="5" t="s">
        <v>3579</v>
      </c>
      <c r="AK7652" s="5" t="s">
        <v>3627</v>
      </c>
    </row>
    <row r="7653" spans="35:37">
      <c r="AI7653" s="468">
        <v>50025</v>
      </c>
      <c r="AJ7653" s="5" t="s">
        <v>3624</v>
      </c>
      <c r="AK7653" s="5" t="s">
        <v>3618</v>
      </c>
    </row>
    <row r="7654" spans="35:37">
      <c r="AI7654" s="468">
        <v>50026</v>
      </c>
      <c r="AJ7654" s="5" t="s">
        <v>3626</v>
      </c>
      <c r="AK7654" s="5" t="s">
        <v>3620</v>
      </c>
    </row>
    <row r="7655" spans="35:37">
      <c r="AI7655" s="468">
        <v>50027</v>
      </c>
      <c r="AJ7655" s="5" t="s">
        <v>3628</v>
      </c>
      <c r="AK7655" s="5" t="s">
        <v>3623</v>
      </c>
    </row>
    <row r="7656" spans="35:37">
      <c r="AI7656" s="468">
        <v>50028</v>
      </c>
      <c r="AJ7656" s="5" t="s">
        <v>3617</v>
      </c>
      <c r="AK7656" s="5" t="s">
        <v>3625</v>
      </c>
    </row>
    <row r="7657" spans="35:37">
      <c r="AI7657" s="468">
        <v>50029</v>
      </c>
      <c r="AJ7657" s="5" t="s">
        <v>3619</v>
      </c>
      <c r="AK7657" s="5" t="s">
        <v>3627</v>
      </c>
    </row>
    <row r="7658" spans="35:37">
      <c r="AI7658" s="468">
        <v>50030</v>
      </c>
      <c r="AJ7658" s="5" t="s">
        <v>3621</v>
      </c>
      <c r="AK7658" s="5" t="s">
        <v>3618</v>
      </c>
    </row>
    <row r="7659" spans="35:37">
      <c r="AI7659" s="468">
        <v>50031</v>
      </c>
      <c r="AJ7659" s="5" t="s">
        <v>3579</v>
      </c>
      <c r="AK7659" s="5" t="s">
        <v>3620</v>
      </c>
    </row>
    <row r="7660" spans="35:37">
      <c r="AI7660" s="468">
        <v>50032</v>
      </c>
      <c r="AJ7660" s="5" t="s">
        <v>3624</v>
      </c>
      <c r="AK7660" s="5" t="s">
        <v>3622</v>
      </c>
    </row>
    <row r="7661" spans="35:37">
      <c r="AI7661" s="468">
        <v>50033</v>
      </c>
      <c r="AJ7661" s="5" t="s">
        <v>3626</v>
      </c>
      <c r="AK7661" s="5" t="s">
        <v>3623</v>
      </c>
    </row>
    <row r="7662" spans="35:37">
      <c r="AI7662" s="468">
        <v>50034</v>
      </c>
      <c r="AJ7662" s="5" t="s">
        <v>3628</v>
      </c>
      <c r="AK7662" s="5" t="s">
        <v>3625</v>
      </c>
    </row>
    <row r="7663" spans="35:37">
      <c r="AI7663" s="468">
        <v>50035</v>
      </c>
      <c r="AJ7663" s="5" t="s">
        <v>3617</v>
      </c>
      <c r="AK7663" s="5" t="s">
        <v>3627</v>
      </c>
    </row>
    <row r="7664" spans="35:37">
      <c r="AI7664" s="468">
        <v>50036</v>
      </c>
      <c r="AJ7664" s="5" t="s">
        <v>3619</v>
      </c>
      <c r="AK7664" s="5" t="s">
        <v>3618</v>
      </c>
    </row>
    <row r="7665" spans="35:37">
      <c r="AI7665" s="468">
        <v>50037</v>
      </c>
      <c r="AJ7665" s="5" t="s">
        <v>3621</v>
      </c>
      <c r="AK7665" s="5" t="s">
        <v>3620</v>
      </c>
    </row>
    <row r="7666" spans="35:37">
      <c r="AI7666" s="468">
        <v>50038</v>
      </c>
      <c r="AJ7666" s="5" t="s">
        <v>3579</v>
      </c>
      <c r="AK7666" s="5" t="s">
        <v>3622</v>
      </c>
    </row>
    <row r="7667" spans="35:37">
      <c r="AI7667" s="468">
        <v>50039</v>
      </c>
      <c r="AJ7667" s="5" t="s">
        <v>3624</v>
      </c>
      <c r="AK7667" s="5" t="s">
        <v>3623</v>
      </c>
    </row>
    <row r="7668" spans="35:37">
      <c r="AI7668" s="468">
        <v>50040</v>
      </c>
      <c r="AJ7668" s="5" t="s">
        <v>3626</v>
      </c>
      <c r="AK7668" s="5" t="s">
        <v>3625</v>
      </c>
    </row>
    <row r="7669" spans="35:37">
      <c r="AI7669" s="468">
        <v>50041</v>
      </c>
      <c r="AJ7669" s="5" t="s">
        <v>3628</v>
      </c>
      <c r="AK7669" s="5" t="s">
        <v>3627</v>
      </c>
    </row>
    <row r="7670" spans="35:37">
      <c r="AI7670" s="468">
        <v>50042</v>
      </c>
      <c r="AJ7670" s="5" t="s">
        <v>3617</v>
      </c>
      <c r="AK7670" s="5" t="s">
        <v>3618</v>
      </c>
    </row>
    <row r="7671" spans="35:37">
      <c r="AI7671" s="468">
        <v>50043</v>
      </c>
      <c r="AJ7671" s="5" t="s">
        <v>3619</v>
      </c>
      <c r="AK7671" s="5" t="s">
        <v>3620</v>
      </c>
    </row>
    <row r="7672" spans="35:37">
      <c r="AI7672" s="468">
        <v>50044</v>
      </c>
      <c r="AJ7672" s="5" t="s">
        <v>3621</v>
      </c>
      <c r="AK7672" s="5" t="s">
        <v>3622</v>
      </c>
    </row>
    <row r="7673" spans="35:37">
      <c r="AI7673" s="468">
        <v>50045</v>
      </c>
      <c r="AJ7673" s="5" t="s">
        <v>3579</v>
      </c>
      <c r="AK7673" s="5" t="s">
        <v>3623</v>
      </c>
    </row>
    <row r="7674" spans="35:37">
      <c r="AI7674" s="468">
        <v>50046</v>
      </c>
      <c r="AJ7674" s="5" t="s">
        <v>3624</v>
      </c>
      <c r="AK7674" s="5" t="s">
        <v>3625</v>
      </c>
    </row>
    <row r="7675" spans="35:37">
      <c r="AI7675" s="468">
        <v>50047</v>
      </c>
      <c r="AJ7675" s="5" t="s">
        <v>3626</v>
      </c>
      <c r="AK7675" s="5" t="s">
        <v>3627</v>
      </c>
    </row>
    <row r="7676" spans="35:37">
      <c r="AI7676" s="468">
        <v>50048</v>
      </c>
      <c r="AJ7676" s="5" t="s">
        <v>3628</v>
      </c>
      <c r="AK7676" s="5" t="s">
        <v>3618</v>
      </c>
    </row>
    <row r="7677" spans="35:37">
      <c r="AI7677" s="468">
        <v>50049</v>
      </c>
      <c r="AJ7677" s="5" t="s">
        <v>3617</v>
      </c>
      <c r="AK7677" s="5" t="s">
        <v>3620</v>
      </c>
    </row>
    <row r="7678" spans="35:37">
      <c r="AI7678" s="468">
        <v>50050</v>
      </c>
      <c r="AJ7678" s="5" t="s">
        <v>3619</v>
      </c>
      <c r="AK7678" s="5" t="s">
        <v>3622</v>
      </c>
    </row>
    <row r="7679" spans="35:37">
      <c r="AI7679" s="468">
        <v>50051</v>
      </c>
      <c r="AJ7679" s="5" t="s">
        <v>3621</v>
      </c>
      <c r="AK7679" s="5" t="s">
        <v>3623</v>
      </c>
    </row>
    <row r="7680" spans="35:37">
      <c r="AI7680" s="468">
        <v>50052</v>
      </c>
      <c r="AJ7680" s="5" t="s">
        <v>3579</v>
      </c>
      <c r="AK7680" s="5" t="s">
        <v>3625</v>
      </c>
    </row>
    <row r="7681" spans="35:37">
      <c r="AI7681" s="468">
        <v>50053</v>
      </c>
      <c r="AJ7681" s="5" t="s">
        <v>3624</v>
      </c>
      <c r="AK7681" s="5" t="s">
        <v>3627</v>
      </c>
    </row>
    <row r="7682" spans="35:37">
      <c r="AI7682" s="468">
        <v>50054</v>
      </c>
      <c r="AJ7682" s="5" t="s">
        <v>3626</v>
      </c>
      <c r="AK7682" s="5" t="s">
        <v>3618</v>
      </c>
    </row>
    <row r="7683" spans="35:37">
      <c r="AI7683" s="468">
        <v>50055</v>
      </c>
      <c r="AJ7683" s="5" t="s">
        <v>3628</v>
      </c>
      <c r="AK7683" s="5" t="s">
        <v>3620</v>
      </c>
    </row>
    <row r="7684" spans="35:37">
      <c r="AI7684" s="468">
        <v>50056</v>
      </c>
      <c r="AJ7684" s="5" t="s">
        <v>3617</v>
      </c>
      <c r="AK7684" s="5" t="s">
        <v>3625</v>
      </c>
    </row>
    <row r="7685" spans="35:37">
      <c r="AI7685" s="468">
        <v>50057</v>
      </c>
      <c r="AJ7685" s="5" t="s">
        <v>3619</v>
      </c>
      <c r="AK7685" s="5" t="s">
        <v>3627</v>
      </c>
    </row>
    <row r="7686" spans="35:37">
      <c r="AI7686" s="468">
        <v>50058</v>
      </c>
      <c r="AJ7686" s="5" t="s">
        <v>3621</v>
      </c>
      <c r="AK7686" s="5" t="s">
        <v>3618</v>
      </c>
    </row>
    <row r="7687" spans="35:37">
      <c r="AI7687" s="468">
        <v>50059</v>
      </c>
      <c r="AJ7687" s="5" t="s">
        <v>3579</v>
      </c>
      <c r="AK7687" s="5" t="s">
        <v>3620</v>
      </c>
    </row>
    <row r="7688" spans="35:37">
      <c r="AI7688" s="468">
        <v>50060</v>
      </c>
      <c r="AJ7688" s="5" t="s">
        <v>3624</v>
      </c>
      <c r="AK7688" s="5" t="s">
        <v>3622</v>
      </c>
    </row>
    <row r="7689" spans="35:37">
      <c r="AI7689" s="468">
        <v>50061</v>
      </c>
      <c r="AJ7689" s="5" t="s">
        <v>3626</v>
      </c>
      <c r="AK7689" s="5" t="s">
        <v>3623</v>
      </c>
    </row>
    <row r="7690" spans="35:37">
      <c r="AI7690" s="468">
        <v>50062</v>
      </c>
      <c r="AJ7690" s="5" t="s">
        <v>3628</v>
      </c>
      <c r="AK7690" s="5" t="s">
        <v>3625</v>
      </c>
    </row>
    <row r="7691" spans="35:37">
      <c r="AI7691" s="468">
        <v>50063</v>
      </c>
      <c r="AJ7691" s="5" t="s">
        <v>3617</v>
      </c>
      <c r="AK7691" s="5" t="s">
        <v>3627</v>
      </c>
    </row>
    <row r="7692" spans="35:37">
      <c r="AI7692" s="468">
        <v>50064</v>
      </c>
      <c r="AJ7692" s="5" t="s">
        <v>3619</v>
      </c>
      <c r="AK7692" s="5" t="s">
        <v>3618</v>
      </c>
    </row>
    <row r="7693" spans="35:37">
      <c r="AI7693" s="468">
        <v>50065</v>
      </c>
      <c r="AJ7693" s="5" t="s">
        <v>3621</v>
      </c>
      <c r="AK7693" s="5" t="s">
        <v>3620</v>
      </c>
    </row>
    <row r="7694" spans="35:37">
      <c r="AI7694" s="468">
        <v>50066</v>
      </c>
      <c r="AJ7694" s="5" t="s">
        <v>3579</v>
      </c>
      <c r="AK7694" s="5" t="s">
        <v>3622</v>
      </c>
    </row>
    <row r="7695" spans="35:37">
      <c r="AI7695" s="468">
        <v>50067</v>
      </c>
      <c r="AJ7695" s="5" t="s">
        <v>3624</v>
      </c>
      <c r="AK7695" s="5" t="s">
        <v>3623</v>
      </c>
    </row>
    <row r="7696" spans="35:37">
      <c r="AI7696" s="468">
        <v>50068</v>
      </c>
      <c r="AJ7696" s="5" t="s">
        <v>3626</v>
      </c>
      <c r="AK7696" s="5" t="s">
        <v>3625</v>
      </c>
    </row>
    <row r="7697" spans="35:37">
      <c r="AI7697" s="468">
        <v>50069</v>
      </c>
      <c r="AJ7697" s="5" t="s">
        <v>3628</v>
      </c>
      <c r="AK7697" s="5" t="s">
        <v>3627</v>
      </c>
    </row>
    <row r="7698" spans="35:37">
      <c r="AI7698" s="468">
        <v>50070</v>
      </c>
      <c r="AJ7698" s="5" t="s">
        <v>3617</v>
      </c>
      <c r="AK7698" s="5" t="s">
        <v>3618</v>
      </c>
    </row>
    <row r="7699" spans="35:37">
      <c r="AI7699" s="468">
        <v>50071</v>
      </c>
      <c r="AJ7699" s="5" t="s">
        <v>3619</v>
      </c>
      <c r="AK7699" s="5" t="s">
        <v>3620</v>
      </c>
    </row>
    <row r="7700" spans="35:37">
      <c r="AI7700" s="468">
        <v>50072</v>
      </c>
      <c r="AJ7700" s="5" t="s">
        <v>3621</v>
      </c>
      <c r="AK7700" s="5" t="s">
        <v>3622</v>
      </c>
    </row>
    <row r="7701" spans="35:37">
      <c r="AI7701" s="468">
        <v>50073</v>
      </c>
      <c r="AJ7701" s="5" t="s">
        <v>3579</v>
      </c>
      <c r="AK7701" s="5" t="s">
        <v>3623</v>
      </c>
    </row>
    <row r="7702" spans="35:37">
      <c r="AI7702" s="468">
        <v>50074</v>
      </c>
      <c r="AJ7702" s="5" t="s">
        <v>3624</v>
      </c>
      <c r="AK7702" s="5" t="s">
        <v>3625</v>
      </c>
    </row>
    <row r="7703" spans="35:37">
      <c r="AI7703" s="468">
        <v>50075</v>
      </c>
      <c r="AJ7703" s="5" t="s">
        <v>3626</v>
      </c>
      <c r="AK7703" s="5" t="s">
        <v>3627</v>
      </c>
    </row>
    <row r="7704" spans="35:37">
      <c r="AI7704" s="468">
        <v>50076</v>
      </c>
      <c r="AJ7704" s="5" t="s">
        <v>3628</v>
      </c>
      <c r="AK7704" s="5" t="s">
        <v>3618</v>
      </c>
    </row>
    <row r="7705" spans="35:37">
      <c r="AI7705" s="468">
        <v>50077</v>
      </c>
      <c r="AJ7705" s="5" t="s">
        <v>3617</v>
      </c>
      <c r="AK7705" s="5" t="s">
        <v>3620</v>
      </c>
    </row>
    <row r="7706" spans="35:37">
      <c r="AI7706" s="468">
        <v>50078</v>
      </c>
      <c r="AJ7706" s="5" t="s">
        <v>3619</v>
      </c>
      <c r="AK7706" s="5" t="s">
        <v>3622</v>
      </c>
    </row>
    <row r="7707" spans="35:37">
      <c r="AI7707" s="468">
        <v>50079</v>
      </c>
      <c r="AJ7707" s="5" t="s">
        <v>3621</v>
      </c>
      <c r="AK7707" s="5" t="s">
        <v>3623</v>
      </c>
    </row>
    <row r="7708" spans="35:37">
      <c r="AI7708" s="468">
        <v>50080</v>
      </c>
      <c r="AJ7708" s="5" t="s">
        <v>3579</v>
      </c>
      <c r="AK7708" s="5" t="s">
        <v>3625</v>
      </c>
    </row>
    <row r="7709" spans="35:37">
      <c r="AI7709" s="468">
        <v>50081</v>
      </c>
      <c r="AJ7709" s="5" t="s">
        <v>3624</v>
      </c>
      <c r="AK7709" s="5" t="s">
        <v>3627</v>
      </c>
    </row>
    <row r="7710" spans="35:37">
      <c r="AI7710" s="468">
        <v>50082</v>
      </c>
      <c r="AJ7710" s="5" t="s">
        <v>3626</v>
      </c>
      <c r="AK7710" s="5" t="s">
        <v>3618</v>
      </c>
    </row>
    <row r="7711" spans="35:37">
      <c r="AI7711" s="468">
        <v>50083</v>
      </c>
      <c r="AJ7711" s="5" t="s">
        <v>3628</v>
      </c>
      <c r="AK7711" s="5" t="s">
        <v>3620</v>
      </c>
    </row>
    <row r="7712" spans="35:37">
      <c r="AI7712" s="468">
        <v>50084</v>
      </c>
      <c r="AJ7712" s="5" t="s">
        <v>3617</v>
      </c>
      <c r="AK7712" s="5" t="s">
        <v>3622</v>
      </c>
    </row>
    <row r="7713" spans="35:37">
      <c r="AI7713" s="468">
        <v>50085</v>
      </c>
      <c r="AJ7713" s="5" t="s">
        <v>3619</v>
      </c>
      <c r="AK7713" s="5" t="s">
        <v>3623</v>
      </c>
    </row>
    <row r="7714" spans="35:37">
      <c r="AI7714" s="468">
        <v>50086</v>
      </c>
      <c r="AJ7714" s="5" t="s">
        <v>3621</v>
      </c>
      <c r="AK7714" s="5" t="s">
        <v>3627</v>
      </c>
    </row>
    <row r="7715" spans="35:37">
      <c r="AI7715" s="468">
        <v>50087</v>
      </c>
      <c r="AJ7715" s="5" t="s">
        <v>3579</v>
      </c>
      <c r="AK7715" s="5" t="s">
        <v>3618</v>
      </c>
    </row>
    <row r="7716" spans="35:37">
      <c r="AI7716" s="468">
        <v>50088</v>
      </c>
      <c r="AJ7716" s="5" t="s">
        <v>3624</v>
      </c>
      <c r="AK7716" s="5" t="s">
        <v>3620</v>
      </c>
    </row>
    <row r="7717" spans="35:37">
      <c r="AI7717" s="468">
        <v>50089</v>
      </c>
      <c r="AJ7717" s="5" t="s">
        <v>3626</v>
      </c>
      <c r="AK7717" s="5" t="s">
        <v>3622</v>
      </c>
    </row>
    <row r="7718" spans="35:37">
      <c r="AI7718" s="468">
        <v>50090</v>
      </c>
      <c r="AJ7718" s="5" t="s">
        <v>3628</v>
      </c>
      <c r="AK7718" s="5" t="s">
        <v>3623</v>
      </c>
    </row>
    <row r="7719" spans="35:37">
      <c r="AI7719" s="468">
        <v>50091</v>
      </c>
      <c r="AJ7719" s="5" t="s">
        <v>3617</v>
      </c>
      <c r="AK7719" s="5" t="s">
        <v>3625</v>
      </c>
    </row>
    <row r="7720" spans="35:37">
      <c r="AI7720" s="468">
        <v>50092</v>
      </c>
      <c r="AJ7720" s="5" t="s">
        <v>3619</v>
      </c>
      <c r="AK7720" s="5" t="s">
        <v>3627</v>
      </c>
    </row>
    <row r="7721" spans="35:37">
      <c r="AI7721" s="468">
        <v>50093</v>
      </c>
      <c r="AJ7721" s="5" t="s">
        <v>3621</v>
      </c>
      <c r="AK7721" s="5" t="s">
        <v>3618</v>
      </c>
    </row>
    <row r="7722" spans="35:37">
      <c r="AI7722" s="468">
        <v>50094</v>
      </c>
      <c r="AJ7722" s="5" t="s">
        <v>3579</v>
      </c>
      <c r="AK7722" s="5" t="s">
        <v>3620</v>
      </c>
    </row>
    <row r="7723" spans="35:37">
      <c r="AI7723" s="468">
        <v>50095</v>
      </c>
      <c r="AJ7723" s="5" t="s">
        <v>3624</v>
      </c>
      <c r="AK7723" s="5" t="s">
        <v>3622</v>
      </c>
    </row>
    <row r="7724" spans="35:37">
      <c r="AI7724" s="468">
        <v>50096</v>
      </c>
      <c r="AJ7724" s="5" t="s">
        <v>3626</v>
      </c>
      <c r="AK7724" s="5" t="s">
        <v>3623</v>
      </c>
    </row>
    <row r="7725" spans="35:37">
      <c r="AI7725" s="468">
        <v>50097</v>
      </c>
      <c r="AJ7725" s="5" t="s">
        <v>3628</v>
      </c>
      <c r="AK7725" s="5" t="s">
        <v>3625</v>
      </c>
    </row>
    <row r="7726" spans="35:37">
      <c r="AI7726" s="468">
        <v>50098</v>
      </c>
      <c r="AJ7726" s="5" t="s">
        <v>3617</v>
      </c>
      <c r="AK7726" s="5" t="s">
        <v>3627</v>
      </c>
    </row>
    <row r="7727" spans="35:37">
      <c r="AI7727" s="468">
        <v>50099</v>
      </c>
      <c r="AJ7727" s="5" t="s">
        <v>3619</v>
      </c>
      <c r="AK7727" s="5" t="s">
        <v>3618</v>
      </c>
    </row>
    <row r="7728" spans="35:37">
      <c r="AI7728" s="468">
        <v>50100</v>
      </c>
      <c r="AJ7728" s="5" t="s">
        <v>3621</v>
      </c>
      <c r="AK7728" s="5" t="s">
        <v>3620</v>
      </c>
    </row>
    <row r="7729" spans="35:37">
      <c r="AI7729" s="468">
        <v>50101</v>
      </c>
      <c r="AJ7729" s="5" t="s">
        <v>3579</v>
      </c>
      <c r="AK7729" s="5" t="s">
        <v>3622</v>
      </c>
    </row>
    <row r="7730" spans="35:37">
      <c r="AI7730" s="468">
        <v>50102</v>
      </c>
      <c r="AJ7730" s="5" t="s">
        <v>3624</v>
      </c>
      <c r="AK7730" s="5" t="s">
        <v>3623</v>
      </c>
    </row>
    <row r="7731" spans="35:37">
      <c r="AI7731" s="468">
        <v>50103</v>
      </c>
      <c r="AJ7731" s="5" t="s">
        <v>3626</v>
      </c>
      <c r="AK7731" s="5" t="s">
        <v>3625</v>
      </c>
    </row>
    <row r="7732" spans="35:37">
      <c r="AI7732" s="468">
        <v>50104</v>
      </c>
      <c r="AJ7732" s="5" t="s">
        <v>3628</v>
      </c>
      <c r="AK7732" s="5" t="s">
        <v>3627</v>
      </c>
    </row>
    <row r="7733" spans="35:37">
      <c r="AI7733" s="468">
        <v>50105</v>
      </c>
      <c r="AJ7733" s="5" t="s">
        <v>3617</v>
      </c>
      <c r="AK7733" s="5" t="s">
        <v>3618</v>
      </c>
    </row>
    <row r="7734" spans="35:37">
      <c r="AI7734" s="468">
        <v>50106</v>
      </c>
      <c r="AJ7734" s="5" t="s">
        <v>3619</v>
      </c>
      <c r="AK7734" s="5" t="s">
        <v>3620</v>
      </c>
    </row>
    <row r="7735" spans="35:37">
      <c r="AI7735" s="468">
        <v>50107</v>
      </c>
      <c r="AJ7735" s="5" t="s">
        <v>3621</v>
      </c>
      <c r="AK7735" s="5" t="s">
        <v>3622</v>
      </c>
    </row>
    <row r="7736" spans="35:37">
      <c r="AI7736" s="468">
        <v>50108</v>
      </c>
      <c r="AJ7736" s="5" t="s">
        <v>3579</v>
      </c>
      <c r="AK7736" s="5" t="s">
        <v>3623</v>
      </c>
    </row>
    <row r="7737" spans="35:37">
      <c r="AI7737" s="468">
        <v>50109</v>
      </c>
      <c r="AJ7737" s="5" t="s">
        <v>3624</v>
      </c>
      <c r="AK7737" s="5" t="s">
        <v>3625</v>
      </c>
    </row>
    <row r="7738" spans="35:37">
      <c r="AI7738" s="468">
        <v>50110</v>
      </c>
      <c r="AJ7738" s="5" t="s">
        <v>3626</v>
      </c>
      <c r="AK7738" s="5" t="s">
        <v>3627</v>
      </c>
    </row>
    <row r="7739" spans="35:37">
      <c r="AI7739" s="468">
        <v>50111</v>
      </c>
      <c r="AJ7739" s="5" t="s">
        <v>3628</v>
      </c>
      <c r="AK7739" s="5" t="s">
        <v>3618</v>
      </c>
    </row>
    <row r="7740" spans="35:37">
      <c r="AI7740" s="468">
        <v>50112</v>
      </c>
      <c r="AJ7740" s="5" t="s">
        <v>3617</v>
      </c>
      <c r="AK7740" s="5" t="s">
        <v>3620</v>
      </c>
    </row>
    <row r="7741" spans="35:37">
      <c r="AI7741" s="468">
        <v>50113</v>
      </c>
      <c r="AJ7741" s="5" t="s">
        <v>3619</v>
      </c>
      <c r="AK7741" s="5" t="s">
        <v>3622</v>
      </c>
    </row>
    <row r="7742" spans="35:37">
      <c r="AI7742" s="468">
        <v>50114</v>
      </c>
      <c r="AJ7742" s="5" t="s">
        <v>3621</v>
      </c>
      <c r="AK7742" s="5" t="s">
        <v>3623</v>
      </c>
    </row>
    <row r="7743" spans="35:37">
      <c r="AI7743" s="468">
        <v>50115</v>
      </c>
      <c r="AJ7743" s="5" t="s">
        <v>3579</v>
      </c>
      <c r="AK7743" s="5" t="s">
        <v>3625</v>
      </c>
    </row>
    <row r="7744" spans="35:37">
      <c r="AI7744" s="468">
        <v>50116</v>
      </c>
      <c r="AJ7744" s="5" t="s">
        <v>3624</v>
      </c>
      <c r="AK7744" s="5" t="s">
        <v>3618</v>
      </c>
    </row>
    <row r="7745" spans="35:37">
      <c r="AI7745" s="468">
        <v>50117</v>
      </c>
      <c r="AJ7745" s="5" t="s">
        <v>3626</v>
      </c>
      <c r="AK7745" s="5" t="s">
        <v>3620</v>
      </c>
    </row>
    <row r="7746" spans="35:37">
      <c r="AI7746" s="468">
        <v>50118</v>
      </c>
      <c r="AJ7746" s="5" t="s">
        <v>3628</v>
      </c>
      <c r="AK7746" s="5" t="s">
        <v>3622</v>
      </c>
    </row>
    <row r="7747" spans="35:37">
      <c r="AI7747" s="468">
        <v>50119</v>
      </c>
      <c r="AJ7747" s="5" t="s">
        <v>3617</v>
      </c>
      <c r="AK7747" s="5" t="s">
        <v>3623</v>
      </c>
    </row>
    <row r="7748" spans="35:37">
      <c r="AI7748" s="468">
        <v>50120</v>
      </c>
      <c r="AJ7748" s="5" t="s">
        <v>3619</v>
      </c>
      <c r="AK7748" s="5" t="s">
        <v>3625</v>
      </c>
    </row>
    <row r="7749" spans="35:37">
      <c r="AI7749" s="468">
        <v>50121</v>
      </c>
      <c r="AJ7749" s="5" t="s">
        <v>3621</v>
      </c>
      <c r="AK7749" s="5" t="s">
        <v>3627</v>
      </c>
    </row>
    <row r="7750" spans="35:37">
      <c r="AI7750" s="468">
        <v>50122</v>
      </c>
      <c r="AJ7750" s="5" t="s">
        <v>3579</v>
      </c>
      <c r="AK7750" s="5" t="s">
        <v>3618</v>
      </c>
    </row>
    <row r="7751" spans="35:37">
      <c r="AI7751" s="468">
        <v>50123</v>
      </c>
      <c r="AJ7751" s="5" t="s">
        <v>3624</v>
      </c>
      <c r="AK7751" s="5" t="s">
        <v>3620</v>
      </c>
    </row>
    <row r="7752" spans="35:37">
      <c r="AI7752" s="468">
        <v>50124</v>
      </c>
      <c r="AJ7752" s="5" t="s">
        <v>3626</v>
      </c>
      <c r="AK7752" s="5" t="s">
        <v>3622</v>
      </c>
    </row>
    <row r="7753" spans="35:37">
      <c r="AI7753" s="468">
        <v>50125</v>
      </c>
      <c r="AJ7753" s="5" t="s">
        <v>3628</v>
      </c>
      <c r="AK7753" s="5" t="s">
        <v>3623</v>
      </c>
    </row>
    <row r="7754" spans="35:37">
      <c r="AI7754" s="468">
        <v>50126</v>
      </c>
      <c r="AJ7754" s="5" t="s">
        <v>3617</v>
      </c>
      <c r="AK7754" s="5" t="s">
        <v>3625</v>
      </c>
    </row>
    <row r="7755" spans="35:37">
      <c r="AI7755" s="468">
        <v>50127</v>
      </c>
      <c r="AJ7755" s="5" t="s">
        <v>3619</v>
      </c>
      <c r="AK7755" s="5" t="s">
        <v>3627</v>
      </c>
    </row>
    <row r="7756" spans="35:37">
      <c r="AI7756" s="468">
        <v>50128</v>
      </c>
      <c r="AJ7756" s="5" t="s">
        <v>3621</v>
      </c>
      <c r="AK7756" s="5" t="s">
        <v>3618</v>
      </c>
    </row>
    <row r="7757" spans="35:37">
      <c r="AI7757" s="468">
        <v>50129</v>
      </c>
      <c r="AJ7757" s="5" t="s">
        <v>3579</v>
      </c>
      <c r="AK7757" s="5" t="s">
        <v>3620</v>
      </c>
    </row>
    <row r="7758" spans="35:37">
      <c r="AI7758" s="468">
        <v>50130</v>
      </c>
      <c r="AJ7758" s="5" t="s">
        <v>3624</v>
      </c>
      <c r="AK7758" s="5" t="s">
        <v>3622</v>
      </c>
    </row>
    <row r="7759" spans="35:37">
      <c r="AI7759" s="468">
        <v>50131</v>
      </c>
      <c r="AJ7759" s="5" t="s">
        <v>3626</v>
      </c>
      <c r="AK7759" s="5" t="s">
        <v>3623</v>
      </c>
    </row>
    <row r="7760" spans="35:37">
      <c r="AI7760" s="468">
        <v>50132</v>
      </c>
      <c r="AJ7760" s="5" t="s">
        <v>3628</v>
      </c>
      <c r="AK7760" s="5" t="s">
        <v>3625</v>
      </c>
    </row>
    <row r="7761" spans="35:37">
      <c r="AI7761" s="468">
        <v>50133</v>
      </c>
      <c r="AJ7761" s="5" t="s">
        <v>3617</v>
      </c>
      <c r="AK7761" s="5" t="s">
        <v>3627</v>
      </c>
    </row>
    <row r="7762" spans="35:37">
      <c r="AI7762" s="468">
        <v>50134</v>
      </c>
      <c r="AJ7762" s="5" t="s">
        <v>3619</v>
      </c>
      <c r="AK7762" s="5" t="s">
        <v>3618</v>
      </c>
    </row>
    <row r="7763" spans="35:37">
      <c r="AI7763" s="468">
        <v>50135</v>
      </c>
      <c r="AJ7763" s="5" t="s">
        <v>3621</v>
      </c>
      <c r="AK7763" s="5" t="s">
        <v>3620</v>
      </c>
    </row>
    <row r="7764" spans="35:37">
      <c r="AI7764" s="468">
        <v>50136</v>
      </c>
      <c r="AJ7764" s="5" t="s">
        <v>3579</v>
      </c>
      <c r="AK7764" s="5" t="s">
        <v>3622</v>
      </c>
    </row>
    <row r="7765" spans="35:37">
      <c r="AI7765" s="468">
        <v>50137</v>
      </c>
      <c r="AJ7765" s="5" t="s">
        <v>3624</v>
      </c>
      <c r="AK7765" s="5" t="s">
        <v>3623</v>
      </c>
    </row>
    <row r="7766" spans="35:37">
      <c r="AI7766" s="468">
        <v>50138</v>
      </c>
      <c r="AJ7766" s="5" t="s">
        <v>3626</v>
      </c>
      <c r="AK7766" s="5" t="s">
        <v>3625</v>
      </c>
    </row>
    <row r="7767" spans="35:37">
      <c r="AI7767" s="468">
        <v>50139</v>
      </c>
      <c r="AJ7767" s="5" t="s">
        <v>3628</v>
      </c>
      <c r="AK7767" s="5" t="s">
        <v>3627</v>
      </c>
    </row>
    <row r="7768" spans="35:37">
      <c r="AI7768" s="468">
        <v>50140</v>
      </c>
      <c r="AJ7768" s="5" t="s">
        <v>3617</v>
      </c>
      <c r="AK7768" s="5" t="s">
        <v>3618</v>
      </c>
    </row>
    <row r="7769" spans="35:37">
      <c r="AI7769" s="468">
        <v>50141</v>
      </c>
      <c r="AJ7769" s="5" t="s">
        <v>3619</v>
      </c>
      <c r="AK7769" s="5" t="s">
        <v>3620</v>
      </c>
    </row>
    <row r="7770" spans="35:37">
      <c r="AI7770" s="468">
        <v>50142</v>
      </c>
      <c r="AJ7770" s="5" t="s">
        <v>3621</v>
      </c>
      <c r="AK7770" s="5" t="s">
        <v>3622</v>
      </c>
    </row>
    <row r="7771" spans="35:37">
      <c r="AI7771" s="468">
        <v>50143</v>
      </c>
      <c r="AJ7771" s="5" t="s">
        <v>3579</v>
      </c>
      <c r="AK7771" s="5" t="s">
        <v>3623</v>
      </c>
    </row>
    <row r="7772" spans="35:37">
      <c r="AI7772" s="468">
        <v>50144</v>
      </c>
      <c r="AJ7772" s="5" t="s">
        <v>3624</v>
      </c>
      <c r="AK7772" s="5" t="s">
        <v>3625</v>
      </c>
    </row>
    <row r="7773" spans="35:37">
      <c r="AI7773" s="468">
        <v>50145</v>
      </c>
      <c r="AJ7773" s="5" t="s">
        <v>3626</v>
      </c>
      <c r="AK7773" s="5" t="s">
        <v>3627</v>
      </c>
    </row>
    <row r="7774" spans="35:37">
      <c r="AI7774" s="468">
        <v>50146</v>
      </c>
      <c r="AJ7774" s="5" t="s">
        <v>3628</v>
      </c>
      <c r="AK7774" s="5" t="s">
        <v>3620</v>
      </c>
    </row>
    <row r="7775" spans="35:37">
      <c r="AI7775" s="468">
        <v>50147</v>
      </c>
      <c r="AJ7775" s="5" t="s">
        <v>3617</v>
      </c>
      <c r="AK7775" s="5" t="s">
        <v>3622</v>
      </c>
    </row>
    <row r="7776" spans="35:37">
      <c r="AI7776" s="468">
        <v>50148</v>
      </c>
      <c r="AJ7776" s="5" t="s">
        <v>3619</v>
      </c>
      <c r="AK7776" s="5" t="s">
        <v>3623</v>
      </c>
    </row>
    <row r="7777" spans="35:37">
      <c r="AI7777" s="468">
        <v>50149</v>
      </c>
      <c r="AJ7777" s="5" t="s">
        <v>3621</v>
      </c>
      <c r="AK7777" s="5" t="s">
        <v>3625</v>
      </c>
    </row>
    <row r="7778" spans="35:37">
      <c r="AI7778" s="468">
        <v>50150</v>
      </c>
      <c r="AJ7778" s="5" t="s">
        <v>3579</v>
      </c>
      <c r="AK7778" s="5" t="s">
        <v>3627</v>
      </c>
    </row>
    <row r="7779" spans="35:37">
      <c r="AI7779" s="468">
        <v>50151</v>
      </c>
      <c r="AJ7779" s="5" t="s">
        <v>3624</v>
      </c>
      <c r="AK7779" s="5" t="s">
        <v>3618</v>
      </c>
    </row>
    <row r="7780" spans="35:37">
      <c r="AI7780" s="468">
        <v>50152</v>
      </c>
      <c r="AJ7780" s="5" t="s">
        <v>3626</v>
      </c>
      <c r="AK7780" s="5" t="s">
        <v>3620</v>
      </c>
    </row>
    <row r="7781" spans="35:37">
      <c r="AI7781" s="468">
        <v>50153</v>
      </c>
      <c r="AJ7781" s="5" t="s">
        <v>3628</v>
      </c>
      <c r="AK7781" s="5" t="s">
        <v>3622</v>
      </c>
    </row>
    <row r="7782" spans="35:37">
      <c r="AI7782" s="468">
        <v>50154</v>
      </c>
      <c r="AJ7782" s="5" t="s">
        <v>3617</v>
      </c>
      <c r="AK7782" s="5" t="s">
        <v>3623</v>
      </c>
    </row>
    <row r="7783" spans="35:37">
      <c r="AI7783" s="468">
        <v>50155</v>
      </c>
      <c r="AJ7783" s="5" t="s">
        <v>3619</v>
      </c>
      <c r="AK7783" s="5" t="s">
        <v>3625</v>
      </c>
    </row>
    <row r="7784" spans="35:37">
      <c r="AI7784" s="468">
        <v>50156</v>
      </c>
      <c r="AJ7784" s="5" t="s">
        <v>3621</v>
      </c>
      <c r="AK7784" s="5" t="s">
        <v>3627</v>
      </c>
    </row>
    <row r="7785" spans="35:37">
      <c r="AI7785" s="468">
        <v>50157</v>
      </c>
      <c r="AJ7785" s="5" t="s">
        <v>3579</v>
      </c>
      <c r="AK7785" s="5" t="s">
        <v>3618</v>
      </c>
    </row>
    <row r="7786" spans="35:37">
      <c r="AI7786" s="468">
        <v>50158</v>
      </c>
      <c r="AJ7786" s="5" t="s">
        <v>3624</v>
      </c>
      <c r="AK7786" s="5" t="s">
        <v>3620</v>
      </c>
    </row>
    <row r="7787" spans="35:37">
      <c r="AI7787" s="468">
        <v>50159</v>
      </c>
      <c r="AJ7787" s="5" t="s">
        <v>3626</v>
      </c>
      <c r="AK7787" s="5" t="s">
        <v>3622</v>
      </c>
    </row>
    <row r="7788" spans="35:37">
      <c r="AI7788" s="468">
        <v>50160</v>
      </c>
      <c r="AJ7788" s="5" t="s">
        <v>3628</v>
      </c>
      <c r="AK7788" s="5" t="s">
        <v>3623</v>
      </c>
    </row>
    <row r="7789" spans="35:37">
      <c r="AI7789" s="468">
        <v>50161</v>
      </c>
      <c r="AJ7789" s="5" t="s">
        <v>3617</v>
      </c>
      <c r="AK7789" s="5" t="s">
        <v>3625</v>
      </c>
    </row>
    <row r="7790" spans="35:37">
      <c r="AI7790" s="468">
        <v>50162</v>
      </c>
      <c r="AJ7790" s="5" t="s">
        <v>3619</v>
      </c>
      <c r="AK7790" s="5" t="s">
        <v>3627</v>
      </c>
    </row>
    <row r="7791" spans="35:37">
      <c r="AI7791" s="468">
        <v>50163</v>
      </c>
      <c r="AJ7791" s="5" t="s">
        <v>3621</v>
      </c>
      <c r="AK7791" s="5" t="s">
        <v>3618</v>
      </c>
    </row>
    <row r="7792" spans="35:37">
      <c r="AI7792" s="468">
        <v>50164</v>
      </c>
      <c r="AJ7792" s="5" t="s">
        <v>3579</v>
      </c>
      <c r="AK7792" s="5" t="s">
        <v>3620</v>
      </c>
    </row>
    <row r="7793" spans="35:37">
      <c r="AI7793" s="468">
        <v>50165</v>
      </c>
      <c r="AJ7793" s="5" t="s">
        <v>3624</v>
      </c>
      <c r="AK7793" s="5" t="s">
        <v>3622</v>
      </c>
    </row>
    <row r="7794" spans="35:37">
      <c r="AI7794" s="468">
        <v>50166</v>
      </c>
      <c r="AJ7794" s="5" t="s">
        <v>3626</v>
      </c>
      <c r="AK7794" s="5" t="s">
        <v>3623</v>
      </c>
    </row>
    <row r="7795" spans="35:37">
      <c r="AI7795" s="468">
        <v>50167</v>
      </c>
      <c r="AJ7795" s="5" t="s">
        <v>3628</v>
      </c>
      <c r="AK7795" s="5" t="s">
        <v>3625</v>
      </c>
    </row>
    <row r="7796" spans="35:37">
      <c r="AI7796" s="468">
        <v>50168</v>
      </c>
      <c r="AJ7796" s="5" t="s">
        <v>3617</v>
      </c>
      <c r="AK7796" s="5" t="s">
        <v>3627</v>
      </c>
    </row>
    <row r="7797" spans="35:37">
      <c r="AI7797" s="468">
        <v>50169</v>
      </c>
      <c r="AJ7797" s="5" t="s">
        <v>3619</v>
      </c>
      <c r="AK7797" s="5" t="s">
        <v>3618</v>
      </c>
    </row>
    <row r="7798" spans="35:37">
      <c r="AI7798" s="468">
        <v>50170</v>
      </c>
      <c r="AJ7798" s="5" t="s">
        <v>3621</v>
      </c>
      <c r="AK7798" s="5" t="s">
        <v>3620</v>
      </c>
    </row>
    <row r="7799" spans="35:37">
      <c r="AI7799" s="468">
        <v>50171</v>
      </c>
      <c r="AJ7799" s="5" t="s">
        <v>3579</v>
      </c>
      <c r="AK7799" s="5" t="s">
        <v>3622</v>
      </c>
    </row>
    <row r="7800" spans="35:37">
      <c r="AI7800" s="468">
        <v>50172</v>
      </c>
      <c r="AJ7800" s="5" t="s">
        <v>3624</v>
      </c>
      <c r="AK7800" s="5" t="s">
        <v>3623</v>
      </c>
    </row>
    <row r="7801" spans="35:37">
      <c r="AI7801" s="468">
        <v>50173</v>
      </c>
      <c r="AJ7801" s="5" t="s">
        <v>3626</v>
      </c>
      <c r="AK7801" s="5" t="s">
        <v>3625</v>
      </c>
    </row>
    <row r="7802" spans="35:37">
      <c r="AI7802" s="468">
        <v>50174</v>
      </c>
      <c r="AJ7802" s="5" t="s">
        <v>3628</v>
      </c>
      <c r="AK7802" s="5" t="s">
        <v>3627</v>
      </c>
    </row>
    <row r="7803" spans="35:37">
      <c r="AI7803" s="468">
        <v>50175</v>
      </c>
      <c r="AJ7803" s="5" t="s">
        <v>3617</v>
      </c>
      <c r="AK7803" s="5" t="s">
        <v>3622</v>
      </c>
    </row>
    <row r="7804" spans="35:37">
      <c r="AI7804" s="468">
        <v>50176</v>
      </c>
      <c r="AJ7804" s="5" t="s">
        <v>3619</v>
      </c>
      <c r="AK7804" s="5" t="s">
        <v>3623</v>
      </c>
    </row>
    <row r="7805" spans="35:37">
      <c r="AI7805" s="468">
        <v>50177</v>
      </c>
      <c r="AJ7805" s="5" t="s">
        <v>3621</v>
      </c>
      <c r="AK7805" s="5" t="s">
        <v>3625</v>
      </c>
    </row>
    <row r="7806" spans="35:37">
      <c r="AI7806" s="468">
        <v>50178</v>
      </c>
      <c r="AJ7806" s="5" t="s">
        <v>3579</v>
      </c>
      <c r="AK7806" s="5" t="s">
        <v>3627</v>
      </c>
    </row>
    <row r="7807" spans="35:37">
      <c r="AI7807" s="468">
        <v>50179</v>
      </c>
      <c r="AJ7807" s="5" t="s">
        <v>3624</v>
      </c>
      <c r="AK7807" s="5" t="s">
        <v>3618</v>
      </c>
    </row>
    <row r="7808" spans="35:37">
      <c r="AI7808" s="468">
        <v>50180</v>
      </c>
      <c r="AJ7808" s="5" t="s">
        <v>3626</v>
      </c>
      <c r="AK7808" s="5" t="s">
        <v>3620</v>
      </c>
    </row>
    <row r="7809" spans="35:37">
      <c r="AI7809" s="468">
        <v>50181</v>
      </c>
      <c r="AJ7809" s="5" t="s">
        <v>3628</v>
      </c>
      <c r="AK7809" s="5" t="s">
        <v>3622</v>
      </c>
    </row>
    <row r="7810" spans="35:37">
      <c r="AI7810" s="468">
        <v>50182</v>
      </c>
      <c r="AJ7810" s="5" t="s">
        <v>3617</v>
      </c>
      <c r="AK7810" s="5" t="s">
        <v>3623</v>
      </c>
    </row>
    <row r="7811" spans="35:37">
      <c r="AI7811" s="468">
        <v>50183</v>
      </c>
      <c r="AJ7811" s="5" t="s">
        <v>3619</v>
      </c>
      <c r="AK7811" s="5" t="s">
        <v>3625</v>
      </c>
    </row>
    <row r="7812" spans="35:37">
      <c r="AI7812" s="468">
        <v>50184</v>
      </c>
      <c r="AJ7812" s="5" t="s">
        <v>3621</v>
      </c>
      <c r="AK7812" s="5" t="s">
        <v>3627</v>
      </c>
    </row>
    <row r="7813" spans="35:37">
      <c r="AI7813" s="468">
        <v>50185</v>
      </c>
      <c r="AJ7813" s="5" t="s">
        <v>3579</v>
      </c>
      <c r="AK7813" s="5" t="s">
        <v>3618</v>
      </c>
    </row>
    <row r="7814" spans="35:37">
      <c r="AI7814" s="468">
        <v>50186</v>
      </c>
      <c r="AJ7814" s="5" t="s">
        <v>3624</v>
      </c>
      <c r="AK7814" s="5" t="s">
        <v>3620</v>
      </c>
    </row>
    <row r="7815" spans="35:37">
      <c r="AI7815" s="468">
        <v>50187</v>
      </c>
      <c r="AJ7815" s="5" t="s">
        <v>3626</v>
      </c>
      <c r="AK7815" s="5" t="s">
        <v>3622</v>
      </c>
    </row>
    <row r="7816" spans="35:37">
      <c r="AI7816" s="468">
        <v>50188</v>
      </c>
      <c r="AJ7816" s="5" t="s">
        <v>3628</v>
      </c>
      <c r="AK7816" s="5" t="s">
        <v>3623</v>
      </c>
    </row>
    <row r="7817" spans="35:37">
      <c r="AI7817" s="468">
        <v>50189</v>
      </c>
      <c r="AJ7817" s="5" t="s">
        <v>3617</v>
      </c>
      <c r="AK7817" s="5" t="s">
        <v>3625</v>
      </c>
    </row>
    <row r="7818" spans="35:37">
      <c r="AI7818" s="468">
        <v>50190</v>
      </c>
      <c r="AJ7818" s="5" t="s">
        <v>3619</v>
      </c>
      <c r="AK7818" s="5" t="s">
        <v>3627</v>
      </c>
    </row>
    <row r="7819" spans="35:37">
      <c r="AI7819" s="468">
        <v>50191</v>
      </c>
      <c r="AJ7819" s="5" t="s">
        <v>3621</v>
      </c>
      <c r="AK7819" s="5" t="s">
        <v>3618</v>
      </c>
    </row>
    <row r="7820" spans="35:37">
      <c r="AI7820" s="468">
        <v>50192</v>
      </c>
      <c r="AJ7820" s="5" t="s">
        <v>3579</v>
      </c>
      <c r="AK7820" s="5" t="s">
        <v>3620</v>
      </c>
    </row>
    <row r="7821" spans="35:37">
      <c r="AI7821" s="468">
        <v>50193</v>
      </c>
      <c r="AJ7821" s="5" t="s">
        <v>3624</v>
      </c>
      <c r="AK7821" s="5" t="s">
        <v>3622</v>
      </c>
    </row>
    <row r="7822" spans="35:37">
      <c r="AI7822" s="468">
        <v>50194</v>
      </c>
      <c r="AJ7822" s="5" t="s">
        <v>3626</v>
      </c>
      <c r="AK7822" s="5" t="s">
        <v>3623</v>
      </c>
    </row>
    <row r="7823" spans="35:37">
      <c r="AI7823" s="468">
        <v>50195</v>
      </c>
      <c r="AJ7823" s="5" t="s">
        <v>3628</v>
      </c>
      <c r="AK7823" s="5" t="s">
        <v>3625</v>
      </c>
    </row>
    <row r="7824" spans="35:37">
      <c r="AI7824" s="468">
        <v>50196</v>
      </c>
      <c r="AJ7824" s="5" t="s">
        <v>3617</v>
      </c>
      <c r="AK7824" s="5" t="s">
        <v>3627</v>
      </c>
    </row>
    <row r="7825" spans="35:37">
      <c r="AI7825" s="468">
        <v>50197</v>
      </c>
      <c r="AJ7825" s="5" t="s">
        <v>3619</v>
      </c>
      <c r="AK7825" s="5" t="s">
        <v>3618</v>
      </c>
    </row>
    <row r="7826" spans="35:37">
      <c r="AI7826" s="468">
        <v>50198</v>
      </c>
      <c r="AJ7826" s="5" t="s">
        <v>3621</v>
      </c>
      <c r="AK7826" s="5" t="s">
        <v>3620</v>
      </c>
    </row>
    <row r="7827" spans="35:37">
      <c r="AI7827" s="468">
        <v>50199</v>
      </c>
      <c r="AJ7827" s="5" t="s">
        <v>3579</v>
      </c>
      <c r="AK7827" s="5" t="s">
        <v>3622</v>
      </c>
    </row>
    <row r="7828" spans="35:37">
      <c r="AI7828" s="468">
        <v>50200</v>
      </c>
      <c r="AJ7828" s="5" t="s">
        <v>3624</v>
      </c>
      <c r="AK7828" s="5" t="s">
        <v>3623</v>
      </c>
    </row>
    <row r="7829" spans="35:37">
      <c r="AI7829" s="468">
        <v>50201</v>
      </c>
      <c r="AJ7829" s="5" t="s">
        <v>3626</v>
      </c>
      <c r="AK7829" s="5" t="s">
        <v>3625</v>
      </c>
    </row>
    <row r="7830" spans="35:37">
      <c r="AI7830" s="468">
        <v>50202</v>
      </c>
      <c r="AJ7830" s="5" t="s">
        <v>3628</v>
      </c>
      <c r="AK7830" s="5" t="s">
        <v>3627</v>
      </c>
    </row>
    <row r="7831" spans="35:37">
      <c r="AI7831" s="468">
        <v>50203</v>
      </c>
      <c r="AJ7831" s="5" t="s">
        <v>3617</v>
      </c>
      <c r="AK7831" s="5" t="s">
        <v>3618</v>
      </c>
    </row>
    <row r="7832" spans="35:37">
      <c r="AI7832" s="468">
        <v>50204</v>
      </c>
      <c r="AJ7832" s="5" t="s">
        <v>3619</v>
      </c>
      <c r="AK7832" s="5" t="s">
        <v>3620</v>
      </c>
    </row>
    <row r="7833" spans="35:37">
      <c r="AI7833" s="468">
        <v>50205</v>
      </c>
      <c r="AJ7833" s="5" t="s">
        <v>3621</v>
      </c>
      <c r="AK7833" s="5" t="s">
        <v>3623</v>
      </c>
    </row>
    <row r="7834" spans="35:37">
      <c r="AI7834" s="468">
        <v>50206</v>
      </c>
      <c r="AJ7834" s="5" t="s">
        <v>3579</v>
      </c>
      <c r="AK7834" s="5" t="s">
        <v>3625</v>
      </c>
    </row>
    <row r="7835" spans="35:37">
      <c r="AI7835" s="468">
        <v>50207</v>
      </c>
      <c r="AJ7835" s="5" t="s">
        <v>3624</v>
      </c>
      <c r="AK7835" s="5" t="s">
        <v>3627</v>
      </c>
    </row>
    <row r="7836" spans="35:37">
      <c r="AI7836" s="468">
        <v>50208</v>
      </c>
      <c r="AJ7836" s="5" t="s">
        <v>3626</v>
      </c>
      <c r="AK7836" s="5" t="s">
        <v>3618</v>
      </c>
    </row>
    <row r="7837" spans="35:37">
      <c r="AI7837" s="468">
        <v>50209</v>
      </c>
      <c r="AJ7837" s="5" t="s">
        <v>3628</v>
      </c>
      <c r="AK7837" s="5" t="s">
        <v>3620</v>
      </c>
    </row>
    <row r="7838" spans="35:37">
      <c r="AI7838" s="468">
        <v>50210</v>
      </c>
      <c r="AJ7838" s="5" t="s">
        <v>3617</v>
      </c>
      <c r="AK7838" s="5" t="s">
        <v>3622</v>
      </c>
    </row>
    <row r="7839" spans="35:37">
      <c r="AI7839" s="468">
        <v>50211</v>
      </c>
      <c r="AJ7839" s="5" t="s">
        <v>3619</v>
      </c>
      <c r="AK7839" s="5" t="s">
        <v>3623</v>
      </c>
    </row>
    <row r="7840" spans="35:37">
      <c r="AI7840" s="468">
        <v>50212</v>
      </c>
      <c r="AJ7840" s="5" t="s">
        <v>3621</v>
      </c>
      <c r="AK7840" s="5" t="s">
        <v>3625</v>
      </c>
    </row>
    <row r="7841" spans="35:37">
      <c r="AI7841" s="468">
        <v>50213</v>
      </c>
      <c r="AJ7841" s="5" t="s">
        <v>3579</v>
      </c>
      <c r="AK7841" s="5" t="s">
        <v>3627</v>
      </c>
    </row>
    <row r="7842" spans="35:37">
      <c r="AI7842" s="468">
        <v>50214</v>
      </c>
      <c r="AJ7842" s="5" t="s">
        <v>3624</v>
      </c>
      <c r="AK7842" s="5" t="s">
        <v>3618</v>
      </c>
    </row>
    <row r="7843" spans="35:37">
      <c r="AI7843" s="468">
        <v>50215</v>
      </c>
      <c r="AJ7843" s="5" t="s">
        <v>3626</v>
      </c>
      <c r="AK7843" s="5" t="s">
        <v>3620</v>
      </c>
    </row>
    <row r="7844" spans="35:37">
      <c r="AI7844" s="468">
        <v>50216</v>
      </c>
      <c r="AJ7844" s="5" t="s">
        <v>3628</v>
      </c>
      <c r="AK7844" s="5" t="s">
        <v>3622</v>
      </c>
    </row>
    <row r="7845" spans="35:37">
      <c r="AI7845" s="468">
        <v>50217</v>
      </c>
      <c r="AJ7845" s="5" t="s">
        <v>3617</v>
      </c>
      <c r="AK7845" s="5" t="s">
        <v>3623</v>
      </c>
    </row>
    <row r="7846" spans="35:37">
      <c r="AI7846" s="468">
        <v>50218</v>
      </c>
      <c r="AJ7846" s="5" t="s">
        <v>3619</v>
      </c>
      <c r="AK7846" s="5" t="s">
        <v>3625</v>
      </c>
    </row>
    <row r="7847" spans="35:37">
      <c r="AI7847" s="468">
        <v>50219</v>
      </c>
      <c r="AJ7847" s="5" t="s">
        <v>3621</v>
      </c>
      <c r="AK7847" s="5" t="s">
        <v>3627</v>
      </c>
    </row>
    <row r="7848" spans="35:37">
      <c r="AI7848" s="468">
        <v>50220</v>
      </c>
      <c r="AJ7848" s="5" t="s">
        <v>3579</v>
      </c>
      <c r="AK7848" s="5" t="s">
        <v>3618</v>
      </c>
    </row>
    <row r="7849" spans="35:37">
      <c r="AI7849" s="468">
        <v>50221</v>
      </c>
      <c r="AJ7849" s="5" t="s">
        <v>3624</v>
      </c>
      <c r="AK7849" s="5" t="s">
        <v>3620</v>
      </c>
    </row>
    <row r="7850" spans="35:37">
      <c r="AI7850" s="468">
        <v>50222</v>
      </c>
      <c r="AJ7850" s="5" t="s">
        <v>3626</v>
      </c>
      <c r="AK7850" s="5" t="s">
        <v>3622</v>
      </c>
    </row>
    <row r="7851" spans="35:37">
      <c r="AI7851" s="468">
        <v>50223</v>
      </c>
      <c r="AJ7851" s="5" t="s">
        <v>3628</v>
      </c>
      <c r="AK7851" s="5" t="s">
        <v>3623</v>
      </c>
    </row>
    <row r="7852" spans="35:37">
      <c r="AI7852" s="468">
        <v>50224</v>
      </c>
      <c r="AJ7852" s="5" t="s">
        <v>3617</v>
      </c>
      <c r="AK7852" s="5" t="s">
        <v>3625</v>
      </c>
    </row>
    <row r="7853" spans="35:37">
      <c r="AI7853" s="468">
        <v>50225</v>
      </c>
      <c r="AJ7853" s="5" t="s">
        <v>3619</v>
      </c>
      <c r="AK7853" s="5" t="s">
        <v>3627</v>
      </c>
    </row>
    <row r="7854" spans="35:37">
      <c r="AI7854" s="468">
        <v>50226</v>
      </c>
      <c r="AJ7854" s="5" t="s">
        <v>3621</v>
      </c>
      <c r="AK7854" s="5" t="s">
        <v>3618</v>
      </c>
    </row>
    <row r="7855" spans="35:37">
      <c r="AI7855" s="468">
        <v>50227</v>
      </c>
      <c r="AJ7855" s="5" t="s">
        <v>3579</v>
      </c>
      <c r="AK7855" s="5" t="s">
        <v>3620</v>
      </c>
    </row>
    <row r="7856" spans="35:37">
      <c r="AI7856" s="468">
        <v>50228</v>
      </c>
      <c r="AJ7856" s="5" t="s">
        <v>3624</v>
      </c>
      <c r="AK7856" s="5" t="s">
        <v>3622</v>
      </c>
    </row>
    <row r="7857" spans="35:37">
      <c r="AI7857" s="468">
        <v>50229</v>
      </c>
      <c r="AJ7857" s="5" t="s">
        <v>3626</v>
      </c>
      <c r="AK7857" s="5" t="s">
        <v>3623</v>
      </c>
    </row>
    <row r="7858" spans="35:37">
      <c r="AI7858" s="468">
        <v>50230</v>
      </c>
      <c r="AJ7858" s="5" t="s">
        <v>3628</v>
      </c>
      <c r="AK7858" s="5" t="s">
        <v>3625</v>
      </c>
    </row>
    <row r="7859" spans="35:37">
      <c r="AI7859" s="468">
        <v>50231</v>
      </c>
      <c r="AJ7859" s="5" t="s">
        <v>3617</v>
      </c>
      <c r="AK7859" s="5" t="s">
        <v>3627</v>
      </c>
    </row>
    <row r="7860" spans="35:37">
      <c r="AI7860" s="468">
        <v>50232</v>
      </c>
      <c r="AJ7860" s="5" t="s">
        <v>3619</v>
      </c>
      <c r="AK7860" s="5" t="s">
        <v>3618</v>
      </c>
    </row>
    <row r="7861" spans="35:37">
      <c r="AI7861" s="468">
        <v>50233</v>
      </c>
      <c r="AJ7861" s="5" t="s">
        <v>3621</v>
      </c>
      <c r="AK7861" s="5" t="s">
        <v>3620</v>
      </c>
    </row>
    <row r="7862" spans="35:37">
      <c r="AI7862" s="468">
        <v>50234</v>
      </c>
      <c r="AJ7862" s="5" t="s">
        <v>3579</v>
      </c>
      <c r="AK7862" s="5" t="s">
        <v>3625</v>
      </c>
    </row>
    <row r="7863" spans="35:37">
      <c r="AI7863" s="468">
        <v>50235</v>
      </c>
      <c r="AJ7863" s="5" t="s">
        <v>3624</v>
      </c>
      <c r="AK7863" s="5" t="s">
        <v>3627</v>
      </c>
    </row>
    <row r="7864" spans="35:37">
      <c r="AI7864" s="468">
        <v>50236</v>
      </c>
      <c r="AJ7864" s="5" t="s">
        <v>3626</v>
      </c>
      <c r="AK7864" s="5" t="s">
        <v>3618</v>
      </c>
    </row>
    <row r="7865" spans="35:37">
      <c r="AI7865" s="468">
        <v>50237</v>
      </c>
      <c r="AJ7865" s="5" t="s">
        <v>3628</v>
      </c>
      <c r="AK7865" s="5" t="s">
        <v>3620</v>
      </c>
    </row>
    <row r="7866" spans="35:37">
      <c r="AI7866" s="468">
        <v>50238</v>
      </c>
      <c r="AJ7866" s="5" t="s">
        <v>3617</v>
      </c>
      <c r="AK7866" s="5" t="s">
        <v>3622</v>
      </c>
    </row>
    <row r="7867" spans="35:37">
      <c r="AI7867" s="468">
        <v>50239</v>
      </c>
      <c r="AJ7867" s="5" t="s">
        <v>3619</v>
      </c>
      <c r="AK7867" s="5" t="s">
        <v>3623</v>
      </c>
    </row>
    <row r="7868" spans="35:37">
      <c r="AI7868" s="468">
        <v>50240</v>
      </c>
      <c r="AJ7868" s="5" t="s">
        <v>3621</v>
      </c>
      <c r="AK7868" s="5" t="s">
        <v>3625</v>
      </c>
    </row>
    <row r="7869" spans="35:37">
      <c r="AI7869" s="468">
        <v>50241</v>
      </c>
      <c r="AJ7869" s="5" t="s">
        <v>3579</v>
      </c>
      <c r="AK7869" s="5" t="s">
        <v>3627</v>
      </c>
    </row>
    <row r="7870" spans="35:37">
      <c r="AI7870" s="468">
        <v>50242</v>
      </c>
      <c r="AJ7870" s="5" t="s">
        <v>3624</v>
      </c>
      <c r="AK7870" s="5" t="s">
        <v>3618</v>
      </c>
    </row>
    <row r="7871" spans="35:37">
      <c r="AI7871" s="468">
        <v>50243</v>
      </c>
      <c r="AJ7871" s="5" t="s">
        <v>3626</v>
      </c>
      <c r="AK7871" s="5" t="s">
        <v>3620</v>
      </c>
    </row>
    <row r="7872" spans="35:37">
      <c r="AI7872" s="468">
        <v>50244</v>
      </c>
      <c r="AJ7872" s="5" t="s">
        <v>3628</v>
      </c>
      <c r="AK7872" s="5" t="s">
        <v>3622</v>
      </c>
    </row>
    <row r="7873" spans="35:37">
      <c r="AI7873" s="468">
        <v>50245</v>
      </c>
      <c r="AJ7873" s="5" t="s">
        <v>3617</v>
      </c>
      <c r="AK7873" s="5" t="s">
        <v>3623</v>
      </c>
    </row>
    <row r="7874" spans="35:37">
      <c r="AI7874" s="468">
        <v>50246</v>
      </c>
      <c r="AJ7874" s="5" t="s">
        <v>3619</v>
      </c>
      <c r="AK7874" s="5" t="s">
        <v>3625</v>
      </c>
    </row>
    <row r="7875" spans="35:37">
      <c r="AI7875" s="468">
        <v>50247</v>
      </c>
      <c r="AJ7875" s="5" t="s">
        <v>3621</v>
      </c>
      <c r="AK7875" s="5" t="s">
        <v>3627</v>
      </c>
    </row>
    <row r="7876" spans="35:37">
      <c r="AI7876" s="468">
        <v>50248</v>
      </c>
      <c r="AJ7876" s="5" t="s">
        <v>3579</v>
      </c>
      <c r="AK7876" s="5" t="s">
        <v>3618</v>
      </c>
    </row>
    <row r="7877" spans="35:37">
      <c r="AI7877" s="468">
        <v>50249</v>
      </c>
      <c r="AJ7877" s="5" t="s">
        <v>3624</v>
      </c>
      <c r="AK7877" s="5" t="s">
        <v>3620</v>
      </c>
    </row>
    <row r="7878" spans="35:37">
      <c r="AI7878" s="468">
        <v>50250</v>
      </c>
      <c r="AJ7878" s="5" t="s">
        <v>3626</v>
      </c>
      <c r="AK7878" s="5" t="s">
        <v>3622</v>
      </c>
    </row>
    <row r="7879" spans="35:37">
      <c r="AI7879" s="468">
        <v>50251</v>
      </c>
      <c r="AJ7879" s="5" t="s">
        <v>3628</v>
      </c>
      <c r="AK7879" s="5" t="s">
        <v>3623</v>
      </c>
    </row>
    <row r="7880" spans="35:37">
      <c r="AI7880" s="468">
        <v>50252</v>
      </c>
      <c r="AJ7880" s="5" t="s">
        <v>3617</v>
      </c>
      <c r="AK7880" s="5" t="s">
        <v>3625</v>
      </c>
    </row>
    <row r="7881" spans="35:37">
      <c r="AI7881" s="468">
        <v>50253</v>
      </c>
      <c r="AJ7881" s="5" t="s">
        <v>3619</v>
      </c>
      <c r="AK7881" s="5" t="s">
        <v>3627</v>
      </c>
    </row>
    <row r="7882" spans="35:37">
      <c r="AI7882" s="468">
        <v>50254</v>
      </c>
      <c r="AJ7882" s="5" t="s">
        <v>3621</v>
      </c>
      <c r="AK7882" s="5" t="s">
        <v>3618</v>
      </c>
    </row>
    <row r="7883" spans="35:37">
      <c r="AI7883" s="468">
        <v>50255</v>
      </c>
      <c r="AJ7883" s="5" t="s">
        <v>3579</v>
      </c>
      <c r="AK7883" s="5" t="s">
        <v>3620</v>
      </c>
    </row>
    <row r="7884" spans="35:37">
      <c r="AI7884" s="468">
        <v>50256</v>
      </c>
      <c r="AJ7884" s="5" t="s">
        <v>3624</v>
      </c>
      <c r="AK7884" s="5" t="s">
        <v>3622</v>
      </c>
    </row>
    <row r="7885" spans="35:37">
      <c r="AI7885" s="468">
        <v>50257</v>
      </c>
      <c r="AJ7885" s="5" t="s">
        <v>3626</v>
      </c>
      <c r="AK7885" s="5" t="s">
        <v>3623</v>
      </c>
    </row>
    <row r="7886" spans="35:37">
      <c r="AI7886" s="468">
        <v>50258</v>
      </c>
      <c r="AJ7886" s="5" t="s">
        <v>3628</v>
      </c>
      <c r="AK7886" s="5" t="s">
        <v>3625</v>
      </c>
    </row>
    <row r="7887" spans="35:37">
      <c r="AI7887" s="468">
        <v>50259</v>
      </c>
      <c r="AJ7887" s="5" t="s">
        <v>3617</v>
      </c>
      <c r="AK7887" s="5" t="s">
        <v>3627</v>
      </c>
    </row>
    <row r="7888" spans="35:37">
      <c r="AI7888" s="468">
        <v>50260</v>
      </c>
      <c r="AJ7888" s="5" t="s">
        <v>3619</v>
      </c>
      <c r="AK7888" s="5" t="s">
        <v>3618</v>
      </c>
    </row>
    <row r="7889" spans="35:37">
      <c r="AI7889" s="468">
        <v>50261</v>
      </c>
      <c r="AJ7889" s="5" t="s">
        <v>3621</v>
      </c>
      <c r="AK7889" s="5" t="s">
        <v>3620</v>
      </c>
    </row>
    <row r="7890" spans="35:37">
      <c r="AI7890" s="468">
        <v>50262</v>
      </c>
      <c r="AJ7890" s="5" t="s">
        <v>3579</v>
      </c>
      <c r="AK7890" s="5" t="s">
        <v>3622</v>
      </c>
    </row>
    <row r="7891" spans="35:37">
      <c r="AI7891" s="468">
        <v>50263</v>
      </c>
      <c r="AJ7891" s="5" t="s">
        <v>3624</v>
      </c>
      <c r="AK7891" s="5" t="s">
        <v>3627</v>
      </c>
    </row>
    <row r="7892" spans="35:37">
      <c r="AI7892" s="468">
        <v>50264</v>
      </c>
      <c r="AJ7892" s="5" t="s">
        <v>3626</v>
      </c>
      <c r="AK7892" s="5" t="s">
        <v>3618</v>
      </c>
    </row>
    <row r="7893" spans="35:37">
      <c r="AI7893" s="468">
        <v>50265</v>
      </c>
      <c r="AJ7893" s="5" t="s">
        <v>3628</v>
      </c>
      <c r="AK7893" s="5" t="s">
        <v>3620</v>
      </c>
    </row>
    <row r="7894" spans="35:37">
      <c r="AI7894" s="468">
        <v>50266</v>
      </c>
      <c r="AJ7894" s="5" t="s">
        <v>3617</v>
      </c>
      <c r="AK7894" s="5" t="s">
        <v>3622</v>
      </c>
    </row>
    <row r="7895" spans="35:37">
      <c r="AI7895" s="468">
        <v>50267</v>
      </c>
      <c r="AJ7895" s="5" t="s">
        <v>3619</v>
      </c>
      <c r="AK7895" s="5" t="s">
        <v>3623</v>
      </c>
    </row>
    <row r="7896" spans="35:37">
      <c r="AI7896" s="468">
        <v>50268</v>
      </c>
      <c r="AJ7896" s="5" t="s">
        <v>3621</v>
      </c>
      <c r="AK7896" s="5" t="s">
        <v>3625</v>
      </c>
    </row>
    <row r="7897" spans="35:37">
      <c r="AI7897" s="468">
        <v>50269</v>
      </c>
      <c r="AJ7897" s="5" t="s">
        <v>3579</v>
      </c>
      <c r="AK7897" s="5" t="s">
        <v>3627</v>
      </c>
    </row>
    <row r="7898" spans="35:37">
      <c r="AI7898" s="468">
        <v>50270</v>
      </c>
      <c r="AJ7898" s="5" t="s">
        <v>3624</v>
      </c>
      <c r="AK7898" s="5" t="s">
        <v>3618</v>
      </c>
    </row>
    <row r="7899" spans="35:37">
      <c r="AI7899" s="468">
        <v>50271</v>
      </c>
      <c r="AJ7899" s="5" t="s">
        <v>3626</v>
      </c>
      <c r="AK7899" s="5" t="s">
        <v>3620</v>
      </c>
    </row>
    <row r="7900" spans="35:37">
      <c r="AI7900" s="468">
        <v>50272</v>
      </c>
      <c r="AJ7900" s="5" t="s">
        <v>3628</v>
      </c>
      <c r="AK7900" s="5" t="s">
        <v>3622</v>
      </c>
    </row>
    <row r="7901" spans="35:37">
      <c r="AI7901" s="468">
        <v>50273</v>
      </c>
      <c r="AJ7901" s="5" t="s">
        <v>3617</v>
      </c>
      <c r="AK7901" s="5" t="s">
        <v>3623</v>
      </c>
    </row>
    <row r="7902" spans="35:37">
      <c r="AI7902" s="468">
        <v>50274</v>
      </c>
      <c r="AJ7902" s="5" t="s">
        <v>3619</v>
      </c>
      <c r="AK7902" s="5" t="s">
        <v>3625</v>
      </c>
    </row>
    <row r="7903" spans="35:37">
      <c r="AI7903" s="468">
        <v>50275</v>
      </c>
      <c r="AJ7903" s="5" t="s">
        <v>3621</v>
      </c>
      <c r="AK7903" s="5" t="s">
        <v>3627</v>
      </c>
    </row>
    <row r="7904" spans="35:37">
      <c r="AI7904" s="468">
        <v>50276</v>
      </c>
      <c r="AJ7904" s="5" t="s">
        <v>3579</v>
      </c>
      <c r="AK7904" s="5" t="s">
        <v>3618</v>
      </c>
    </row>
    <row r="7905" spans="35:37">
      <c r="AI7905" s="468">
        <v>50277</v>
      </c>
      <c r="AJ7905" s="5" t="s">
        <v>3624</v>
      </c>
      <c r="AK7905" s="5" t="s">
        <v>3620</v>
      </c>
    </row>
    <row r="7906" spans="35:37">
      <c r="AI7906" s="468">
        <v>50278</v>
      </c>
      <c r="AJ7906" s="5" t="s">
        <v>3626</v>
      </c>
      <c r="AK7906" s="5" t="s">
        <v>3622</v>
      </c>
    </row>
    <row r="7907" spans="35:37">
      <c r="AI7907" s="468">
        <v>50279</v>
      </c>
      <c r="AJ7907" s="5" t="s">
        <v>3628</v>
      </c>
      <c r="AK7907" s="5" t="s">
        <v>3623</v>
      </c>
    </row>
    <row r="7908" spans="35:37">
      <c r="AI7908" s="468">
        <v>50280</v>
      </c>
      <c r="AJ7908" s="5" t="s">
        <v>3617</v>
      </c>
      <c r="AK7908" s="5" t="s">
        <v>3625</v>
      </c>
    </row>
    <row r="7909" spans="35:37">
      <c r="AI7909" s="468">
        <v>50281</v>
      </c>
      <c r="AJ7909" s="5" t="s">
        <v>3619</v>
      </c>
      <c r="AK7909" s="5" t="s">
        <v>3627</v>
      </c>
    </row>
    <row r="7910" spans="35:37">
      <c r="AI7910" s="468">
        <v>50282</v>
      </c>
      <c r="AJ7910" s="5" t="s">
        <v>3621</v>
      </c>
      <c r="AK7910" s="5" t="s">
        <v>3618</v>
      </c>
    </row>
    <row r="7911" spans="35:37">
      <c r="AI7911" s="468">
        <v>50283</v>
      </c>
      <c r="AJ7911" s="5" t="s">
        <v>3579</v>
      </c>
      <c r="AK7911" s="5" t="s">
        <v>3620</v>
      </c>
    </row>
    <row r="7912" spans="35:37">
      <c r="AI7912" s="468">
        <v>50284</v>
      </c>
      <c r="AJ7912" s="5" t="s">
        <v>3624</v>
      </c>
      <c r="AK7912" s="5" t="s">
        <v>3622</v>
      </c>
    </row>
    <row r="7913" spans="35:37">
      <c r="AI7913" s="468">
        <v>50285</v>
      </c>
      <c r="AJ7913" s="5" t="s">
        <v>3626</v>
      </c>
      <c r="AK7913" s="5" t="s">
        <v>3623</v>
      </c>
    </row>
    <row r="7914" spans="35:37">
      <c r="AI7914" s="468">
        <v>50286</v>
      </c>
      <c r="AJ7914" s="5" t="s">
        <v>3628</v>
      </c>
      <c r="AK7914" s="5" t="s">
        <v>3625</v>
      </c>
    </row>
    <row r="7915" spans="35:37">
      <c r="AI7915" s="468">
        <v>50287</v>
      </c>
      <c r="AJ7915" s="5" t="s">
        <v>3617</v>
      </c>
      <c r="AK7915" s="5" t="s">
        <v>3627</v>
      </c>
    </row>
    <row r="7916" spans="35:37">
      <c r="AI7916" s="468">
        <v>50288</v>
      </c>
      <c r="AJ7916" s="5" t="s">
        <v>3619</v>
      </c>
      <c r="AK7916" s="5" t="s">
        <v>3618</v>
      </c>
    </row>
    <row r="7917" spans="35:37">
      <c r="AI7917" s="468">
        <v>50289</v>
      </c>
      <c r="AJ7917" s="5" t="s">
        <v>3621</v>
      </c>
      <c r="AK7917" s="5" t="s">
        <v>3620</v>
      </c>
    </row>
    <row r="7918" spans="35:37">
      <c r="AI7918" s="468">
        <v>50290</v>
      </c>
      <c r="AJ7918" s="5" t="s">
        <v>3579</v>
      </c>
      <c r="AK7918" s="5" t="s">
        <v>3622</v>
      </c>
    </row>
    <row r="7919" spans="35:37">
      <c r="AI7919" s="468">
        <v>50291</v>
      </c>
      <c r="AJ7919" s="5" t="s">
        <v>3624</v>
      </c>
      <c r="AK7919" s="5" t="s">
        <v>3623</v>
      </c>
    </row>
    <row r="7920" spans="35:37">
      <c r="AI7920" s="468">
        <v>50292</v>
      </c>
      <c r="AJ7920" s="5" t="s">
        <v>3626</v>
      </c>
      <c r="AK7920" s="5" t="s">
        <v>3625</v>
      </c>
    </row>
    <row r="7921" spans="35:37">
      <c r="AI7921" s="468">
        <v>50293</v>
      </c>
      <c r="AJ7921" s="5" t="s">
        <v>3628</v>
      </c>
      <c r="AK7921" s="5" t="s">
        <v>3618</v>
      </c>
    </row>
    <row r="7922" spans="35:37">
      <c r="AI7922" s="468">
        <v>50294</v>
      </c>
      <c r="AJ7922" s="5" t="s">
        <v>3617</v>
      </c>
      <c r="AK7922" s="5" t="s">
        <v>3620</v>
      </c>
    </row>
    <row r="7923" spans="35:37">
      <c r="AI7923" s="468">
        <v>50295</v>
      </c>
      <c r="AJ7923" s="5" t="s">
        <v>3619</v>
      </c>
      <c r="AK7923" s="5" t="s">
        <v>3622</v>
      </c>
    </row>
    <row r="7924" spans="35:37">
      <c r="AI7924" s="468">
        <v>50296</v>
      </c>
      <c r="AJ7924" s="5" t="s">
        <v>3621</v>
      </c>
      <c r="AK7924" s="5" t="s">
        <v>3623</v>
      </c>
    </row>
    <row r="7925" spans="35:37">
      <c r="AI7925" s="468">
        <v>50297</v>
      </c>
      <c r="AJ7925" s="5" t="s">
        <v>3579</v>
      </c>
      <c r="AK7925" s="5" t="s">
        <v>3625</v>
      </c>
    </row>
    <row r="7926" spans="35:37">
      <c r="AI7926" s="468">
        <v>50298</v>
      </c>
      <c r="AJ7926" s="5" t="s">
        <v>3624</v>
      </c>
      <c r="AK7926" s="5" t="s">
        <v>3627</v>
      </c>
    </row>
    <row r="7927" spans="35:37">
      <c r="AI7927" s="468">
        <v>50299</v>
      </c>
      <c r="AJ7927" s="5" t="s">
        <v>3626</v>
      </c>
      <c r="AK7927" s="5" t="s">
        <v>3618</v>
      </c>
    </row>
    <row r="7928" spans="35:37">
      <c r="AI7928" s="468">
        <v>50300</v>
      </c>
      <c r="AJ7928" s="5" t="s">
        <v>3628</v>
      </c>
      <c r="AK7928" s="5" t="s">
        <v>3620</v>
      </c>
    </row>
    <row r="7929" spans="35:37">
      <c r="AI7929" s="468">
        <v>50301</v>
      </c>
      <c r="AJ7929" s="5" t="s">
        <v>3617</v>
      </c>
      <c r="AK7929" s="5" t="s">
        <v>3622</v>
      </c>
    </row>
    <row r="7930" spans="35:37">
      <c r="AI7930" s="468">
        <v>50302</v>
      </c>
      <c r="AJ7930" s="5" t="s">
        <v>3619</v>
      </c>
      <c r="AK7930" s="5" t="s">
        <v>3623</v>
      </c>
    </row>
    <row r="7931" spans="35:37">
      <c r="AI7931" s="468">
        <v>50303</v>
      </c>
      <c r="AJ7931" s="5" t="s">
        <v>3621</v>
      </c>
      <c r="AK7931" s="5" t="s">
        <v>3625</v>
      </c>
    </row>
    <row r="7932" spans="35:37">
      <c r="AI7932" s="468">
        <v>50304</v>
      </c>
      <c r="AJ7932" s="5" t="s">
        <v>3579</v>
      </c>
      <c r="AK7932" s="5" t="s">
        <v>3627</v>
      </c>
    </row>
    <row r="7933" spans="35:37">
      <c r="AI7933" s="468">
        <v>50305</v>
      </c>
      <c r="AJ7933" s="5" t="s">
        <v>3624</v>
      </c>
      <c r="AK7933" s="5" t="s">
        <v>3618</v>
      </c>
    </row>
    <row r="7934" spans="35:37">
      <c r="AI7934" s="468">
        <v>50306</v>
      </c>
      <c r="AJ7934" s="5" t="s">
        <v>3626</v>
      </c>
      <c r="AK7934" s="5" t="s">
        <v>3620</v>
      </c>
    </row>
    <row r="7935" spans="35:37">
      <c r="AI7935" s="468">
        <v>50307</v>
      </c>
      <c r="AJ7935" s="5" t="s">
        <v>3628</v>
      </c>
      <c r="AK7935" s="5" t="s">
        <v>3622</v>
      </c>
    </row>
    <row r="7936" spans="35:37">
      <c r="AI7936" s="468">
        <v>50308</v>
      </c>
      <c r="AJ7936" s="5" t="s">
        <v>3617</v>
      </c>
      <c r="AK7936" s="5" t="s">
        <v>3623</v>
      </c>
    </row>
    <row r="7937" spans="35:37">
      <c r="AI7937" s="468">
        <v>50309</v>
      </c>
      <c r="AJ7937" s="5" t="s">
        <v>3619</v>
      </c>
      <c r="AK7937" s="5" t="s">
        <v>3625</v>
      </c>
    </row>
    <row r="7938" spans="35:37">
      <c r="AI7938" s="468">
        <v>50310</v>
      </c>
      <c r="AJ7938" s="5" t="s">
        <v>3621</v>
      </c>
      <c r="AK7938" s="5" t="s">
        <v>3627</v>
      </c>
    </row>
    <row r="7939" spans="35:37">
      <c r="AI7939" s="468">
        <v>50311</v>
      </c>
      <c r="AJ7939" s="5" t="s">
        <v>3579</v>
      </c>
      <c r="AK7939" s="5" t="s">
        <v>3618</v>
      </c>
    </row>
    <row r="7940" spans="35:37">
      <c r="AI7940" s="468">
        <v>50312</v>
      </c>
      <c r="AJ7940" s="5" t="s">
        <v>3624</v>
      </c>
      <c r="AK7940" s="5" t="s">
        <v>3620</v>
      </c>
    </row>
    <row r="7941" spans="35:37">
      <c r="AI7941" s="468">
        <v>50313</v>
      </c>
      <c r="AJ7941" s="5" t="s">
        <v>3626</v>
      </c>
      <c r="AK7941" s="5" t="s">
        <v>3622</v>
      </c>
    </row>
    <row r="7942" spans="35:37">
      <c r="AI7942" s="468">
        <v>50314</v>
      </c>
      <c r="AJ7942" s="5" t="s">
        <v>3628</v>
      </c>
      <c r="AK7942" s="5" t="s">
        <v>3623</v>
      </c>
    </row>
    <row r="7943" spans="35:37">
      <c r="AI7943" s="468">
        <v>50315</v>
      </c>
      <c r="AJ7943" s="5" t="s">
        <v>3617</v>
      </c>
      <c r="AK7943" s="5" t="s">
        <v>3625</v>
      </c>
    </row>
    <row r="7944" spans="35:37">
      <c r="AI7944" s="468">
        <v>50316</v>
      </c>
      <c r="AJ7944" s="5" t="s">
        <v>3619</v>
      </c>
      <c r="AK7944" s="5" t="s">
        <v>3627</v>
      </c>
    </row>
    <row r="7945" spans="35:37">
      <c r="AI7945" s="468">
        <v>50317</v>
      </c>
      <c r="AJ7945" s="5" t="s">
        <v>3621</v>
      </c>
      <c r="AK7945" s="5" t="s">
        <v>3618</v>
      </c>
    </row>
    <row r="7946" spans="35:37">
      <c r="AI7946" s="468">
        <v>50318</v>
      </c>
      <c r="AJ7946" s="5" t="s">
        <v>3579</v>
      </c>
      <c r="AK7946" s="5" t="s">
        <v>3620</v>
      </c>
    </row>
    <row r="7947" spans="35:37">
      <c r="AI7947" s="468">
        <v>50319</v>
      </c>
      <c r="AJ7947" s="5" t="s">
        <v>3624</v>
      </c>
      <c r="AK7947" s="5" t="s">
        <v>3622</v>
      </c>
    </row>
    <row r="7948" spans="35:37">
      <c r="AI7948" s="468">
        <v>50320</v>
      </c>
      <c r="AJ7948" s="5" t="s">
        <v>3626</v>
      </c>
      <c r="AK7948" s="5" t="s">
        <v>3623</v>
      </c>
    </row>
    <row r="7949" spans="35:37">
      <c r="AI7949" s="468">
        <v>50321</v>
      </c>
      <c r="AJ7949" s="5" t="s">
        <v>3628</v>
      </c>
      <c r="AK7949" s="5" t="s">
        <v>3625</v>
      </c>
    </row>
    <row r="7950" spans="35:37">
      <c r="AI7950" s="468">
        <v>50322</v>
      </c>
      <c r="AJ7950" s="5" t="s">
        <v>3617</v>
      </c>
      <c r="AK7950" s="5" t="s">
        <v>3620</v>
      </c>
    </row>
    <row r="7951" spans="35:37">
      <c r="AI7951" s="468">
        <v>50323</v>
      </c>
      <c r="AJ7951" s="5" t="s">
        <v>3619</v>
      </c>
      <c r="AK7951" s="5" t="s">
        <v>3622</v>
      </c>
    </row>
    <row r="7952" spans="35:37">
      <c r="AI7952" s="468">
        <v>50324</v>
      </c>
      <c r="AJ7952" s="5" t="s">
        <v>3621</v>
      </c>
      <c r="AK7952" s="5" t="s">
        <v>3623</v>
      </c>
    </row>
    <row r="7953" spans="35:37">
      <c r="AI7953" s="468">
        <v>50325</v>
      </c>
      <c r="AJ7953" s="5" t="s">
        <v>3579</v>
      </c>
      <c r="AK7953" s="5" t="s">
        <v>3625</v>
      </c>
    </row>
    <row r="7954" spans="35:37">
      <c r="AI7954" s="468">
        <v>50326</v>
      </c>
      <c r="AJ7954" s="5" t="s">
        <v>3624</v>
      </c>
      <c r="AK7954" s="5" t="s">
        <v>3627</v>
      </c>
    </row>
    <row r="7955" spans="35:37">
      <c r="AI7955" s="468">
        <v>50327</v>
      </c>
      <c r="AJ7955" s="5" t="s">
        <v>3626</v>
      </c>
      <c r="AK7955" s="5" t="s">
        <v>3618</v>
      </c>
    </row>
    <row r="7956" spans="35:37">
      <c r="AI7956" s="468">
        <v>50328</v>
      </c>
      <c r="AJ7956" s="5" t="s">
        <v>3628</v>
      </c>
      <c r="AK7956" s="5" t="s">
        <v>3620</v>
      </c>
    </row>
    <row r="7957" spans="35:37">
      <c r="AI7957" s="468">
        <v>50329</v>
      </c>
      <c r="AJ7957" s="5" t="s">
        <v>3617</v>
      </c>
      <c r="AK7957" s="5" t="s">
        <v>3622</v>
      </c>
    </row>
    <row r="7958" spans="35:37">
      <c r="AI7958" s="468">
        <v>50330</v>
      </c>
      <c r="AJ7958" s="5" t="s">
        <v>3619</v>
      </c>
      <c r="AK7958" s="5" t="s">
        <v>3623</v>
      </c>
    </row>
    <row r="7959" spans="35:37">
      <c r="AI7959" s="468">
        <v>50331</v>
      </c>
      <c r="AJ7959" s="5" t="s">
        <v>3621</v>
      </c>
      <c r="AK7959" s="5" t="s">
        <v>3625</v>
      </c>
    </row>
    <row r="7960" spans="35:37">
      <c r="AI7960" s="468">
        <v>50332</v>
      </c>
      <c r="AJ7960" s="5" t="s">
        <v>3579</v>
      </c>
      <c r="AK7960" s="5" t="s">
        <v>3627</v>
      </c>
    </row>
    <row r="7961" spans="35:37">
      <c r="AI7961" s="468">
        <v>50333</v>
      </c>
      <c r="AJ7961" s="5" t="s">
        <v>3624</v>
      </c>
      <c r="AK7961" s="5" t="s">
        <v>3618</v>
      </c>
    </row>
    <row r="7962" spans="35:37">
      <c r="AI7962" s="468">
        <v>50334</v>
      </c>
      <c r="AJ7962" s="5" t="s">
        <v>3626</v>
      </c>
      <c r="AK7962" s="5" t="s">
        <v>3620</v>
      </c>
    </row>
    <row r="7963" spans="35:37">
      <c r="AI7963" s="468">
        <v>50335</v>
      </c>
      <c r="AJ7963" s="5" t="s">
        <v>3628</v>
      </c>
      <c r="AK7963" s="5" t="s">
        <v>3622</v>
      </c>
    </row>
    <row r="7964" spans="35:37">
      <c r="AI7964" s="468">
        <v>50336</v>
      </c>
      <c r="AJ7964" s="5" t="s">
        <v>3617</v>
      </c>
      <c r="AK7964" s="5" t="s">
        <v>3623</v>
      </c>
    </row>
    <row r="7965" spans="35:37">
      <c r="AI7965" s="468">
        <v>50337</v>
      </c>
      <c r="AJ7965" s="5" t="s">
        <v>3619</v>
      </c>
      <c r="AK7965" s="5" t="s">
        <v>3625</v>
      </c>
    </row>
    <row r="7966" spans="35:37">
      <c r="AI7966" s="468">
        <v>50338</v>
      </c>
      <c r="AJ7966" s="5" t="s">
        <v>3621</v>
      </c>
      <c r="AK7966" s="5" t="s">
        <v>3627</v>
      </c>
    </row>
    <row r="7967" spans="35:37">
      <c r="AI7967" s="468">
        <v>50339</v>
      </c>
      <c r="AJ7967" s="5" t="s">
        <v>3579</v>
      </c>
      <c r="AK7967" s="5" t="s">
        <v>3618</v>
      </c>
    </row>
    <row r="7968" spans="35:37">
      <c r="AI7968" s="468">
        <v>50340</v>
      </c>
      <c r="AJ7968" s="5" t="s">
        <v>3624</v>
      </c>
      <c r="AK7968" s="5" t="s">
        <v>3620</v>
      </c>
    </row>
    <row r="7969" spans="35:37">
      <c r="AI7969" s="468">
        <v>50341</v>
      </c>
      <c r="AJ7969" s="5" t="s">
        <v>3626</v>
      </c>
      <c r="AK7969" s="5" t="s">
        <v>3622</v>
      </c>
    </row>
    <row r="7970" spans="35:37">
      <c r="AI7970" s="468">
        <v>50342</v>
      </c>
      <c r="AJ7970" s="5" t="s">
        <v>3628</v>
      </c>
      <c r="AK7970" s="5" t="s">
        <v>3623</v>
      </c>
    </row>
    <row r="7971" spans="35:37">
      <c r="AI7971" s="468">
        <v>50343</v>
      </c>
      <c r="AJ7971" s="5" t="s">
        <v>3617</v>
      </c>
      <c r="AK7971" s="5" t="s">
        <v>3625</v>
      </c>
    </row>
    <row r="7972" spans="35:37">
      <c r="AI7972" s="468">
        <v>50344</v>
      </c>
      <c r="AJ7972" s="5" t="s">
        <v>3619</v>
      </c>
      <c r="AK7972" s="5" t="s">
        <v>3627</v>
      </c>
    </row>
    <row r="7973" spans="35:37">
      <c r="AI7973" s="468">
        <v>50345</v>
      </c>
      <c r="AJ7973" s="5" t="s">
        <v>3621</v>
      </c>
      <c r="AK7973" s="5" t="s">
        <v>3618</v>
      </c>
    </row>
    <row r="7974" spans="35:37">
      <c r="AI7974" s="468">
        <v>50346</v>
      </c>
      <c r="AJ7974" s="5" t="s">
        <v>3579</v>
      </c>
      <c r="AK7974" s="5" t="s">
        <v>3620</v>
      </c>
    </row>
    <row r="7975" spans="35:37">
      <c r="AI7975" s="468">
        <v>50347</v>
      </c>
      <c r="AJ7975" s="5" t="s">
        <v>3624</v>
      </c>
      <c r="AK7975" s="5" t="s">
        <v>3622</v>
      </c>
    </row>
    <row r="7976" spans="35:37">
      <c r="AI7976" s="468">
        <v>50348</v>
      </c>
      <c r="AJ7976" s="5" t="s">
        <v>3626</v>
      </c>
      <c r="AK7976" s="5" t="s">
        <v>3623</v>
      </c>
    </row>
    <row r="7977" spans="35:37">
      <c r="AI7977" s="468">
        <v>50349</v>
      </c>
      <c r="AJ7977" s="5" t="s">
        <v>3628</v>
      </c>
      <c r="AK7977" s="5" t="s">
        <v>3625</v>
      </c>
    </row>
    <row r="7978" spans="35:37">
      <c r="AI7978" s="468">
        <v>50350</v>
      </c>
      <c r="AJ7978" s="5" t="s">
        <v>3617</v>
      </c>
      <c r="AK7978" s="5" t="s">
        <v>3627</v>
      </c>
    </row>
    <row r="7979" spans="35:37">
      <c r="AI7979" s="468">
        <v>50351</v>
      </c>
      <c r="AJ7979" s="5" t="s">
        <v>3619</v>
      </c>
      <c r="AK7979" s="5" t="s">
        <v>3622</v>
      </c>
    </row>
    <row r="7980" spans="35:37">
      <c r="AI7980" s="468">
        <v>50352</v>
      </c>
      <c r="AJ7980" s="5" t="s">
        <v>3621</v>
      </c>
      <c r="AK7980" s="5" t="s">
        <v>3623</v>
      </c>
    </row>
    <row r="7981" spans="35:37">
      <c r="AI7981" s="468">
        <v>50353</v>
      </c>
      <c r="AJ7981" s="5" t="s">
        <v>3579</v>
      </c>
      <c r="AK7981" s="5" t="s">
        <v>3625</v>
      </c>
    </row>
    <row r="7982" spans="35:37">
      <c r="AI7982" s="468">
        <v>50354</v>
      </c>
      <c r="AJ7982" s="5" t="s">
        <v>3624</v>
      </c>
      <c r="AK7982" s="5" t="s">
        <v>3627</v>
      </c>
    </row>
    <row r="7983" spans="35:37">
      <c r="AI7983" s="468">
        <v>50355</v>
      </c>
      <c r="AJ7983" s="5" t="s">
        <v>3626</v>
      </c>
      <c r="AK7983" s="5" t="s">
        <v>3618</v>
      </c>
    </row>
    <row r="7984" spans="35:37">
      <c r="AI7984" s="468">
        <v>50356</v>
      </c>
      <c r="AJ7984" s="5" t="s">
        <v>3628</v>
      </c>
      <c r="AK7984" s="5" t="s">
        <v>3620</v>
      </c>
    </row>
    <row r="7985" spans="35:37">
      <c r="AI7985" s="468">
        <v>50357</v>
      </c>
      <c r="AJ7985" s="5" t="s">
        <v>3617</v>
      </c>
      <c r="AK7985" s="5" t="s">
        <v>3622</v>
      </c>
    </row>
    <row r="7986" spans="35:37">
      <c r="AI7986" s="468">
        <v>50358</v>
      </c>
      <c r="AJ7986" s="5" t="s">
        <v>3619</v>
      </c>
      <c r="AK7986" s="5" t="s">
        <v>3623</v>
      </c>
    </row>
    <row r="7987" spans="35:37">
      <c r="AI7987" s="468">
        <v>50359</v>
      </c>
      <c r="AJ7987" s="5" t="s">
        <v>3621</v>
      </c>
      <c r="AK7987" s="5" t="s">
        <v>3625</v>
      </c>
    </row>
    <row r="7988" spans="35:37">
      <c r="AI7988" s="468">
        <v>50360</v>
      </c>
      <c r="AJ7988" s="5" t="s">
        <v>3579</v>
      </c>
      <c r="AK7988" s="5" t="s">
        <v>3627</v>
      </c>
    </row>
    <row r="7989" spans="35:37">
      <c r="AI7989" s="468">
        <v>50361</v>
      </c>
      <c r="AJ7989" s="5" t="s">
        <v>3624</v>
      </c>
      <c r="AK7989" s="5" t="s">
        <v>3618</v>
      </c>
    </row>
    <row r="7990" spans="35:37">
      <c r="AI7990" s="468">
        <v>50362</v>
      </c>
      <c r="AJ7990" s="5" t="s">
        <v>3626</v>
      </c>
      <c r="AK7990" s="5" t="s">
        <v>3620</v>
      </c>
    </row>
    <row r="7991" spans="35:37">
      <c r="AI7991" s="468">
        <v>50363</v>
      </c>
      <c r="AJ7991" s="5" t="s">
        <v>3628</v>
      </c>
      <c r="AK7991" s="5" t="s">
        <v>3622</v>
      </c>
    </row>
    <row r="7992" spans="35:37">
      <c r="AI7992" s="468">
        <v>50364</v>
      </c>
      <c r="AJ7992" s="5" t="s">
        <v>3617</v>
      </c>
      <c r="AK7992" s="5" t="s">
        <v>3623</v>
      </c>
    </row>
    <row r="7993" spans="35:37">
      <c r="AI7993" s="468">
        <v>50365</v>
      </c>
      <c r="AJ7993" s="5" t="s">
        <v>3619</v>
      </c>
      <c r="AK7993" s="5" t="s">
        <v>3625</v>
      </c>
    </row>
    <row r="7994" spans="35:37">
      <c r="AI7994" s="468">
        <v>50366</v>
      </c>
      <c r="AJ7994" s="5" t="s">
        <v>3621</v>
      </c>
      <c r="AK7994" s="5" t="s">
        <v>3627</v>
      </c>
    </row>
    <row r="7995" spans="35:37">
      <c r="AI7995" s="468">
        <v>50367</v>
      </c>
      <c r="AJ7995" s="5" t="s">
        <v>3579</v>
      </c>
      <c r="AK7995" s="5" t="s">
        <v>3618</v>
      </c>
    </row>
    <row r="7996" spans="35:37">
      <c r="AI7996" s="468">
        <v>50368</v>
      </c>
      <c r="AJ7996" s="5" t="s">
        <v>3624</v>
      </c>
      <c r="AK7996" s="5" t="s">
        <v>3620</v>
      </c>
    </row>
    <row r="7997" spans="35:37">
      <c r="AI7997" s="468">
        <v>50369</v>
      </c>
      <c r="AJ7997" s="5" t="s">
        <v>3626</v>
      </c>
      <c r="AK7997" s="5" t="s">
        <v>3622</v>
      </c>
    </row>
    <row r="7998" spans="35:37">
      <c r="AI7998" s="468">
        <v>50370</v>
      </c>
      <c r="AJ7998" s="5" t="s">
        <v>3628</v>
      </c>
      <c r="AK7998" s="5" t="s">
        <v>3623</v>
      </c>
    </row>
    <row r="7999" spans="35:37">
      <c r="AI7999" s="468">
        <v>50371</v>
      </c>
      <c r="AJ7999" s="5" t="s">
        <v>3617</v>
      </c>
      <c r="AK7999" s="5" t="s">
        <v>3625</v>
      </c>
    </row>
    <row r="8000" spans="35:37">
      <c r="AI8000" s="468">
        <v>50372</v>
      </c>
      <c r="AJ8000" s="5" t="s">
        <v>3619</v>
      </c>
      <c r="AK8000" s="5" t="s">
        <v>3627</v>
      </c>
    </row>
    <row r="8001" spans="35:37">
      <c r="AI8001" s="468">
        <v>50373</v>
      </c>
      <c r="AJ8001" s="5" t="s">
        <v>3621</v>
      </c>
      <c r="AK8001" s="5" t="s">
        <v>3618</v>
      </c>
    </row>
    <row r="8002" spans="35:37">
      <c r="AI8002" s="468">
        <v>50374</v>
      </c>
      <c r="AJ8002" s="5" t="s">
        <v>3579</v>
      </c>
      <c r="AK8002" s="5" t="s">
        <v>3620</v>
      </c>
    </row>
    <row r="8003" spans="35:37">
      <c r="AI8003" s="468">
        <v>50375</v>
      </c>
      <c r="AJ8003" s="5" t="s">
        <v>3624</v>
      </c>
      <c r="AK8003" s="5" t="s">
        <v>3622</v>
      </c>
    </row>
    <row r="8004" spans="35:37">
      <c r="AI8004" s="468">
        <v>50376</v>
      </c>
      <c r="AJ8004" s="5" t="s">
        <v>3626</v>
      </c>
      <c r="AK8004" s="5" t="s">
        <v>3623</v>
      </c>
    </row>
    <row r="8005" spans="35:37">
      <c r="AI8005" s="468">
        <v>50377</v>
      </c>
      <c r="AJ8005" s="5" t="s">
        <v>3628</v>
      </c>
      <c r="AK8005" s="5" t="s">
        <v>3625</v>
      </c>
    </row>
    <row r="8006" spans="35:37">
      <c r="AI8006" s="468">
        <v>50378</v>
      </c>
      <c r="AJ8006" s="5" t="s">
        <v>3617</v>
      </c>
      <c r="AK8006" s="5" t="s">
        <v>3627</v>
      </c>
    </row>
    <row r="8007" spans="35:37">
      <c r="AI8007" s="468">
        <v>50379</v>
      </c>
      <c r="AJ8007" s="5" t="s">
        <v>3619</v>
      </c>
      <c r="AK8007" s="5" t="s">
        <v>3618</v>
      </c>
    </row>
    <row r="8008" spans="35:37">
      <c r="AI8008" s="468">
        <v>50380</v>
      </c>
      <c r="AJ8008" s="5" t="s">
        <v>3621</v>
      </c>
      <c r="AK8008" s="5" t="s">
        <v>3620</v>
      </c>
    </row>
    <row r="8009" spans="35:37">
      <c r="AI8009" s="468">
        <v>50381</v>
      </c>
      <c r="AJ8009" s="5" t="s">
        <v>3579</v>
      </c>
      <c r="AK8009" s="5" t="s">
        <v>3623</v>
      </c>
    </row>
    <row r="8010" spans="35:37">
      <c r="AI8010" s="468">
        <v>50382</v>
      </c>
      <c r="AJ8010" s="5" t="s">
        <v>3624</v>
      </c>
      <c r="AK8010" s="5" t="s">
        <v>3625</v>
      </c>
    </row>
    <row r="8011" spans="35:37">
      <c r="AI8011" s="468">
        <v>50383</v>
      </c>
      <c r="AJ8011" s="5" t="s">
        <v>3626</v>
      </c>
      <c r="AK8011" s="5" t="s">
        <v>3627</v>
      </c>
    </row>
    <row r="8012" spans="35:37">
      <c r="AI8012" s="468">
        <v>50384</v>
      </c>
      <c r="AJ8012" s="5" t="s">
        <v>3628</v>
      </c>
      <c r="AK8012" s="5" t="s">
        <v>3618</v>
      </c>
    </row>
    <row r="8013" spans="35:37">
      <c r="AI8013" s="468">
        <v>50385</v>
      </c>
      <c r="AJ8013" s="5" t="s">
        <v>3617</v>
      </c>
      <c r="AK8013" s="5" t="s">
        <v>3620</v>
      </c>
    </row>
    <row r="8014" spans="35:37">
      <c r="AI8014" s="468">
        <v>50386</v>
      </c>
      <c r="AJ8014" s="5" t="s">
        <v>3619</v>
      </c>
      <c r="AK8014" s="5" t="s">
        <v>3622</v>
      </c>
    </row>
    <row r="8015" spans="35:37">
      <c r="AI8015" s="468">
        <v>50387</v>
      </c>
      <c r="AJ8015" s="5" t="s">
        <v>3621</v>
      </c>
      <c r="AK8015" s="5" t="s">
        <v>3623</v>
      </c>
    </row>
    <row r="8016" spans="35:37">
      <c r="AI8016" s="468">
        <v>50388</v>
      </c>
      <c r="AJ8016" s="5" t="s">
        <v>3579</v>
      </c>
      <c r="AK8016" s="5" t="s">
        <v>3625</v>
      </c>
    </row>
    <row r="8017" spans="35:37">
      <c r="AI8017" s="468">
        <v>50389</v>
      </c>
      <c r="AJ8017" s="5" t="s">
        <v>3624</v>
      </c>
      <c r="AK8017" s="5" t="s">
        <v>3627</v>
      </c>
    </row>
    <row r="8018" spans="35:37">
      <c r="AI8018" s="468">
        <v>50390</v>
      </c>
      <c r="AJ8018" s="5" t="s">
        <v>3626</v>
      </c>
      <c r="AK8018" s="5" t="s">
        <v>3618</v>
      </c>
    </row>
    <row r="8019" spans="35:37">
      <c r="AI8019" s="468">
        <v>50391</v>
      </c>
      <c r="AJ8019" s="5" t="s">
        <v>3628</v>
      </c>
      <c r="AK8019" s="5" t="s">
        <v>3620</v>
      </c>
    </row>
    <row r="8020" spans="35:37">
      <c r="AI8020" s="468">
        <v>50392</v>
      </c>
      <c r="AJ8020" s="5" t="s">
        <v>3617</v>
      </c>
      <c r="AK8020" s="5" t="s">
        <v>3622</v>
      </c>
    </row>
    <row r="8021" spans="35:37">
      <c r="AI8021" s="468">
        <v>50393</v>
      </c>
      <c r="AJ8021" s="5" t="s">
        <v>3619</v>
      </c>
      <c r="AK8021" s="5" t="s">
        <v>3623</v>
      </c>
    </row>
    <row r="8022" spans="35:37">
      <c r="AI8022" s="468">
        <v>50394</v>
      </c>
      <c r="AJ8022" s="5" t="s">
        <v>3621</v>
      </c>
      <c r="AK8022" s="5" t="s">
        <v>3625</v>
      </c>
    </row>
    <row r="8023" spans="35:37">
      <c r="AI8023" s="468">
        <v>50395</v>
      </c>
      <c r="AJ8023" s="5" t="s">
        <v>3579</v>
      </c>
      <c r="AK8023" s="5" t="s">
        <v>3627</v>
      </c>
    </row>
    <row r="8024" spans="35:37">
      <c r="AI8024" s="468">
        <v>50396</v>
      </c>
      <c r="AJ8024" s="5" t="s">
        <v>3624</v>
      </c>
      <c r="AK8024" s="5" t="s">
        <v>3618</v>
      </c>
    </row>
    <row r="8025" spans="35:37">
      <c r="AI8025" s="468">
        <v>50397</v>
      </c>
      <c r="AJ8025" s="5" t="s">
        <v>3626</v>
      </c>
      <c r="AK8025" s="5" t="s">
        <v>3620</v>
      </c>
    </row>
    <row r="8026" spans="35:37">
      <c r="AI8026" s="468">
        <v>50398</v>
      </c>
      <c r="AJ8026" s="5" t="s">
        <v>3628</v>
      </c>
      <c r="AK8026" s="5" t="s">
        <v>3622</v>
      </c>
    </row>
    <row r="8027" spans="35:37">
      <c r="AI8027" s="468">
        <v>50399</v>
      </c>
      <c r="AJ8027" s="5" t="s">
        <v>3617</v>
      </c>
      <c r="AK8027" s="5" t="s">
        <v>3623</v>
      </c>
    </row>
    <row r="8028" spans="35:37">
      <c r="AI8028" s="468">
        <v>50400</v>
      </c>
      <c r="AJ8028" s="5" t="s">
        <v>3619</v>
      </c>
      <c r="AK8028" s="5" t="s">
        <v>3625</v>
      </c>
    </row>
    <row r="8029" spans="35:37">
      <c r="AI8029" s="468">
        <v>50401</v>
      </c>
      <c r="AJ8029" s="5" t="s">
        <v>3621</v>
      </c>
      <c r="AK8029" s="5" t="s">
        <v>3627</v>
      </c>
    </row>
    <row r="8030" spans="35:37">
      <c r="AI8030" s="468">
        <v>50402</v>
      </c>
      <c r="AJ8030" s="5" t="s">
        <v>3579</v>
      </c>
      <c r="AK8030" s="5" t="s">
        <v>3618</v>
      </c>
    </row>
    <row r="8031" spans="35:37">
      <c r="AI8031" s="468">
        <v>50403</v>
      </c>
      <c r="AJ8031" s="5" t="s">
        <v>3624</v>
      </c>
      <c r="AK8031" s="5" t="s">
        <v>3620</v>
      </c>
    </row>
    <row r="8032" spans="35:37">
      <c r="AI8032" s="468">
        <v>50404</v>
      </c>
      <c r="AJ8032" s="5" t="s">
        <v>3626</v>
      </c>
      <c r="AK8032" s="5" t="s">
        <v>3622</v>
      </c>
    </row>
    <row r="8033" spans="35:37">
      <c r="AI8033" s="468">
        <v>50405</v>
      </c>
      <c r="AJ8033" s="5" t="s">
        <v>3628</v>
      </c>
      <c r="AK8033" s="5" t="s">
        <v>3623</v>
      </c>
    </row>
    <row r="8034" spans="35:37">
      <c r="AI8034" s="468">
        <v>50406</v>
      </c>
      <c r="AJ8034" s="5" t="s">
        <v>3617</v>
      </c>
      <c r="AK8034" s="5" t="s">
        <v>3625</v>
      </c>
    </row>
    <row r="8035" spans="35:37">
      <c r="AI8035" s="468">
        <v>50407</v>
      </c>
      <c r="AJ8035" s="5" t="s">
        <v>3619</v>
      </c>
      <c r="AK8035" s="5" t="s">
        <v>3627</v>
      </c>
    </row>
    <row r="8036" spans="35:37">
      <c r="AI8036" s="468">
        <v>50408</v>
      </c>
      <c r="AJ8036" s="5" t="s">
        <v>3621</v>
      </c>
      <c r="AK8036" s="5" t="s">
        <v>3618</v>
      </c>
    </row>
    <row r="8037" spans="35:37">
      <c r="AI8037" s="468">
        <v>50409</v>
      </c>
      <c r="AJ8037" s="5" t="s">
        <v>3579</v>
      </c>
      <c r="AK8037" s="5" t="s">
        <v>3620</v>
      </c>
    </row>
    <row r="8038" spans="35:37">
      <c r="AI8038" s="468">
        <v>50410</v>
      </c>
      <c r="AJ8038" s="5" t="s">
        <v>3624</v>
      </c>
      <c r="AK8038" s="5" t="s">
        <v>3625</v>
      </c>
    </row>
    <row r="8039" spans="35:37">
      <c r="AI8039" s="468">
        <v>50411</v>
      </c>
      <c r="AJ8039" s="5" t="s">
        <v>3626</v>
      </c>
      <c r="AK8039" s="5" t="s">
        <v>3627</v>
      </c>
    </row>
    <row r="8040" spans="35:37">
      <c r="AI8040" s="468">
        <v>50412</v>
      </c>
      <c r="AJ8040" s="5" t="s">
        <v>3628</v>
      </c>
      <c r="AK8040" s="5" t="s">
        <v>3618</v>
      </c>
    </row>
    <row r="8041" spans="35:37">
      <c r="AI8041" s="468">
        <v>50413</v>
      </c>
      <c r="AJ8041" s="5" t="s">
        <v>3617</v>
      </c>
      <c r="AK8041" s="5" t="s">
        <v>3620</v>
      </c>
    </row>
    <row r="8042" spans="35:37">
      <c r="AI8042" s="468">
        <v>50414</v>
      </c>
      <c r="AJ8042" s="5" t="s">
        <v>3619</v>
      </c>
      <c r="AK8042" s="5" t="s">
        <v>3622</v>
      </c>
    </row>
    <row r="8043" spans="35:37">
      <c r="AI8043" s="468">
        <v>50415</v>
      </c>
      <c r="AJ8043" s="5" t="s">
        <v>3621</v>
      </c>
      <c r="AK8043" s="5" t="s">
        <v>3623</v>
      </c>
    </row>
    <row r="8044" spans="35:37">
      <c r="AI8044" s="468">
        <v>50416</v>
      </c>
      <c r="AJ8044" s="5" t="s">
        <v>3579</v>
      </c>
      <c r="AK8044" s="5" t="s">
        <v>3625</v>
      </c>
    </row>
    <row r="8045" spans="35:37">
      <c r="AI8045" s="468">
        <v>50417</v>
      </c>
      <c r="AJ8045" s="5" t="s">
        <v>3624</v>
      </c>
      <c r="AK8045" s="5" t="s">
        <v>3627</v>
      </c>
    </row>
    <row r="8046" spans="35:37">
      <c r="AI8046" s="468">
        <v>50418</v>
      </c>
      <c r="AJ8046" s="5" t="s">
        <v>3626</v>
      </c>
      <c r="AK8046" s="5" t="s">
        <v>3618</v>
      </c>
    </row>
    <row r="8047" spans="35:37">
      <c r="AI8047" s="468">
        <v>50419</v>
      </c>
      <c r="AJ8047" s="5" t="s">
        <v>3628</v>
      </c>
      <c r="AK8047" s="5" t="s">
        <v>3620</v>
      </c>
    </row>
    <row r="8048" spans="35:37">
      <c r="AI8048" s="468">
        <v>50420</v>
      </c>
      <c r="AJ8048" s="5" t="s">
        <v>3617</v>
      </c>
      <c r="AK8048" s="5" t="s">
        <v>3622</v>
      </c>
    </row>
    <row r="8049" spans="35:37">
      <c r="AI8049" s="468">
        <v>50421</v>
      </c>
      <c r="AJ8049" s="5" t="s">
        <v>3619</v>
      </c>
      <c r="AK8049" s="5" t="s">
        <v>3623</v>
      </c>
    </row>
    <row r="8050" spans="35:37">
      <c r="AI8050" s="468">
        <v>50422</v>
      </c>
      <c r="AJ8050" s="5" t="s">
        <v>3621</v>
      </c>
      <c r="AK8050" s="5" t="s">
        <v>3625</v>
      </c>
    </row>
    <row r="8051" spans="35:37">
      <c r="AI8051" s="468">
        <v>50423</v>
      </c>
      <c r="AJ8051" s="5" t="s">
        <v>3579</v>
      </c>
      <c r="AK8051" s="5" t="s">
        <v>3627</v>
      </c>
    </row>
    <row r="8052" spans="35:37">
      <c r="AI8052" s="468">
        <v>50424</v>
      </c>
      <c r="AJ8052" s="5" t="s">
        <v>3624</v>
      </c>
      <c r="AK8052" s="5" t="s">
        <v>3618</v>
      </c>
    </row>
    <row r="8053" spans="35:37">
      <c r="AI8053" s="468">
        <v>50425</v>
      </c>
      <c r="AJ8053" s="5" t="s">
        <v>3626</v>
      </c>
      <c r="AK8053" s="5" t="s">
        <v>3620</v>
      </c>
    </row>
    <row r="8054" spans="35:37">
      <c r="AI8054" s="468">
        <v>50426</v>
      </c>
      <c r="AJ8054" s="5" t="s">
        <v>3628</v>
      </c>
      <c r="AK8054" s="5" t="s">
        <v>3622</v>
      </c>
    </row>
    <row r="8055" spans="35:37">
      <c r="AI8055" s="468">
        <v>50427</v>
      </c>
      <c r="AJ8055" s="5" t="s">
        <v>3617</v>
      </c>
      <c r="AK8055" s="5" t="s">
        <v>3623</v>
      </c>
    </row>
    <row r="8056" spans="35:37">
      <c r="AI8056" s="468">
        <v>50428</v>
      </c>
      <c r="AJ8056" s="5" t="s">
        <v>3619</v>
      </c>
      <c r="AK8056" s="5" t="s">
        <v>3625</v>
      </c>
    </row>
    <row r="8057" spans="35:37">
      <c r="AI8057" s="468">
        <v>50429</v>
      </c>
      <c r="AJ8057" s="5" t="s">
        <v>3621</v>
      </c>
      <c r="AK8057" s="5" t="s">
        <v>3627</v>
      </c>
    </row>
    <row r="8058" spans="35:37">
      <c r="AI8058" s="468">
        <v>50430</v>
      </c>
      <c r="AJ8058" s="5" t="s">
        <v>3579</v>
      </c>
      <c r="AK8058" s="5" t="s">
        <v>3618</v>
      </c>
    </row>
    <row r="8059" spans="35:37">
      <c r="AI8059" s="468">
        <v>50431</v>
      </c>
      <c r="AJ8059" s="5" t="s">
        <v>3624</v>
      </c>
      <c r="AK8059" s="5" t="s">
        <v>3620</v>
      </c>
    </row>
    <row r="8060" spans="35:37">
      <c r="AI8060" s="468">
        <v>50432</v>
      </c>
      <c r="AJ8060" s="5" t="s">
        <v>3626</v>
      </c>
      <c r="AK8060" s="5" t="s">
        <v>3622</v>
      </c>
    </row>
    <row r="8061" spans="35:37">
      <c r="AI8061" s="468">
        <v>50433</v>
      </c>
      <c r="AJ8061" s="5" t="s">
        <v>3628</v>
      </c>
      <c r="AK8061" s="5" t="s">
        <v>3623</v>
      </c>
    </row>
    <row r="8062" spans="35:37">
      <c r="AI8062" s="468">
        <v>50434</v>
      </c>
      <c r="AJ8062" s="5" t="s">
        <v>3617</v>
      </c>
      <c r="AK8062" s="5" t="s">
        <v>3625</v>
      </c>
    </row>
    <row r="8063" spans="35:37">
      <c r="AI8063" s="468">
        <v>50435</v>
      </c>
      <c r="AJ8063" s="5" t="s">
        <v>3619</v>
      </c>
      <c r="AK8063" s="5" t="s">
        <v>3627</v>
      </c>
    </row>
    <row r="8064" spans="35:37">
      <c r="AI8064" s="468">
        <v>50436</v>
      </c>
      <c r="AJ8064" s="5" t="s">
        <v>3621</v>
      </c>
      <c r="AK8064" s="5" t="s">
        <v>3618</v>
      </c>
    </row>
    <row r="8065" spans="35:37">
      <c r="AI8065" s="468">
        <v>50437</v>
      </c>
      <c r="AJ8065" s="5" t="s">
        <v>3579</v>
      </c>
      <c r="AK8065" s="5" t="s">
        <v>3620</v>
      </c>
    </row>
    <row r="8066" spans="35:37">
      <c r="AI8066" s="468">
        <v>50438</v>
      </c>
      <c r="AJ8066" s="5" t="s">
        <v>3624</v>
      </c>
      <c r="AK8066" s="5" t="s">
        <v>3622</v>
      </c>
    </row>
    <row r="8067" spans="35:37">
      <c r="AI8067" s="468">
        <v>50439</v>
      </c>
      <c r="AJ8067" s="5" t="s">
        <v>3626</v>
      </c>
      <c r="AK8067" s="5" t="s">
        <v>3623</v>
      </c>
    </row>
    <row r="8068" spans="35:37">
      <c r="AI8068" s="468">
        <v>50440</v>
      </c>
      <c r="AJ8068" s="5" t="s">
        <v>3628</v>
      </c>
      <c r="AK8068" s="5" t="s">
        <v>3627</v>
      </c>
    </row>
    <row r="8069" spans="35:37">
      <c r="AI8069" s="468">
        <v>50441</v>
      </c>
      <c r="AJ8069" s="5" t="s">
        <v>3617</v>
      </c>
      <c r="AK8069" s="5" t="s">
        <v>3618</v>
      </c>
    </row>
    <row r="8070" spans="35:37">
      <c r="AI8070" s="468">
        <v>50442</v>
      </c>
      <c r="AJ8070" s="5" t="s">
        <v>3619</v>
      </c>
      <c r="AK8070" s="5" t="s">
        <v>3620</v>
      </c>
    </row>
    <row r="8071" spans="35:37">
      <c r="AI8071" s="468">
        <v>50443</v>
      </c>
      <c r="AJ8071" s="5" t="s">
        <v>3621</v>
      </c>
      <c r="AK8071" s="5" t="s">
        <v>3622</v>
      </c>
    </row>
    <row r="8072" spans="35:37">
      <c r="AI8072" s="468">
        <v>50444</v>
      </c>
      <c r="AJ8072" s="5" t="s">
        <v>3579</v>
      </c>
      <c r="AK8072" s="5" t="s">
        <v>3623</v>
      </c>
    </row>
    <row r="8073" spans="35:37">
      <c r="AI8073" s="468">
        <v>50445</v>
      </c>
      <c r="AJ8073" s="5" t="s">
        <v>3624</v>
      </c>
      <c r="AK8073" s="5" t="s">
        <v>3625</v>
      </c>
    </row>
    <row r="8074" spans="35:37">
      <c r="AI8074" s="468">
        <v>50446</v>
      </c>
      <c r="AJ8074" s="5" t="s">
        <v>3626</v>
      </c>
      <c r="AK8074" s="5" t="s">
        <v>3627</v>
      </c>
    </row>
    <row r="8075" spans="35:37">
      <c r="AI8075" s="468">
        <v>50447</v>
      </c>
      <c r="AJ8075" s="5" t="s">
        <v>3628</v>
      </c>
      <c r="AK8075" s="5" t="s">
        <v>3618</v>
      </c>
    </row>
    <row r="8076" spans="35:37">
      <c r="AI8076" s="468">
        <v>50448</v>
      </c>
      <c r="AJ8076" s="5" t="s">
        <v>3617</v>
      </c>
      <c r="AK8076" s="5" t="s">
        <v>3620</v>
      </c>
    </row>
    <row r="8077" spans="35:37">
      <c r="AI8077" s="468">
        <v>50449</v>
      </c>
      <c r="AJ8077" s="5" t="s">
        <v>3619</v>
      </c>
      <c r="AK8077" s="5" t="s">
        <v>3622</v>
      </c>
    </row>
    <row r="8078" spans="35:37">
      <c r="AI8078" s="468">
        <v>50450</v>
      </c>
      <c r="AJ8078" s="5" t="s">
        <v>3621</v>
      </c>
      <c r="AK8078" s="5" t="s">
        <v>3623</v>
      </c>
    </row>
    <row r="8079" spans="35:37">
      <c r="AI8079" s="468">
        <v>50451</v>
      </c>
      <c r="AJ8079" s="5" t="s">
        <v>3579</v>
      </c>
      <c r="AK8079" s="5" t="s">
        <v>3625</v>
      </c>
    </row>
    <row r="8080" spans="35:37">
      <c r="AI8080" s="468">
        <v>50452</v>
      </c>
      <c r="AJ8080" s="5" t="s">
        <v>3624</v>
      </c>
      <c r="AK8080" s="5" t="s">
        <v>3627</v>
      </c>
    </row>
    <row r="8081" spans="35:37">
      <c r="AI8081" s="468">
        <v>50453</v>
      </c>
      <c r="AJ8081" s="5" t="s">
        <v>3626</v>
      </c>
      <c r="AK8081" s="5" t="s">
        <v>3618</v>
      </c>
    </row>
    <row r="8082" spans="35:37">
      <c r="AI8082" s="468">
        <v>50454</v>
      </c>
      <c r="AJ8082" s="5" t="s">
        <v>3628</v>
      </c>
      <c r="AK8082" s="5" t="s">
        <v>3620</v>
      </c>
    </row>
    <row r="8083" spans="35:37">
      <c r="AI8083" s="468">
        <v>50455</v>
      </c>
      <c r="AJ8083" s="5" t="s">
        <v>3617</v>
      </c>
      <c r="AK8083" s="5" t="s">
        <v>3622</v>
      </c>
    </row>
    <row r="8084" spans="35:37">
      <c r="AI8084" s="468">
        <v>50456</v>
      </c>
      <c r="AJ8084" s="5" t="s">
        <v>3619</v>
      </c>
      <c r="AK8084" s="5" t="s">
        <v>3623</v>
      </c>
    </row>
    <row r="8085" spans="35:37">
      <c r="AI8085" s="468">
        <v>50457</v>
      </c>
      <c r="AJ8085" s="5" t="s">
        <v>3621</v>
      </c>
      <c r="AK8085" s="5" t="s">
        <v>3625</v>
      </c>
    </row>
    <row r="8086" spans="35:37">
      <c r="AI8086" s="468">
        <v>50458</v>
      </c>
      <c r="AJ8086" s="5" t="s">
        <v>3579</v>
      </c>
      <c r="AK8086" s="5" t="s">
        <v>3627</v>
      </c>
    </row>
    <row r="8087" spans="35:37">
      <c r="AI8087" s="468">
        <v>50459</v>
      </c>
      <c r="AJ8087" s="5" t="s">
        <v>3624</v>
      </c>
      <c r="AK8087" s="5" t="s">
        <v>3618</v>
      </c>
    </row>
    <row r="8088" spans="35:37">
      <c r="AI8088" s="468">
        <v>50460</v>
      </c>
      <c r="AJ8088" s="5" t="s">
        <v>3626</v>
      </c>
      <c r="AK8088" s="5" t="s">
        <v>3620</v>
      </c>
    </row>
    <row r="8089" spans="35:37">
      <c r="AI8089" s="468">
        <v>50461</v>
      </c>
      <c r="AJ8089" s="5" t="s">
        <v>3628</v>
      </c>
      <c r="AK8089" s="5" t="s">
        <v>3622</v>
      </c>
    </row>
    <row r="8090" spans="35:37">
      <c r="AI8090" s="468">
        <v>50462</v>
      </c>
      <c r="AJ8090" s="5" t="s">
        <v>3617</v>
      </c>
      <c r="AK8090" s="5" t="s">
        <v>3623</v>
      </c>
    </row>
    <row r="8091" spans="35:37">
      <c r="AI8091" s="468">
        <v>50463</v>
      </c>
      <c r="AJ8091" s="5" t="s">
        <v>3619</v>
      </c>
      <c r="AK8091" s="5" t="s">
        <v>3625</v>
      </c>
    </row>
    <row r="8092" spans="35:37">
      <c r="AI8092" s="468">
        <v>50464</v>
      </c>
      <c r="AJ8092" s="5" t="s">
        <v>3621</v>
      </c>
      <c r="AK8092" s="5" t="s">
        <v>3627</v>
      </c>
    </row>
    <row r="8093" spans="35:37">
      <c r="AI8093" s="468">
        <v>50465</v>
      </c>
      <c r="AJ8093" s="5" t="s">
        <v>3579</v>
      </c>
      <c r="AK8093" s="5" t="s">
        <v>3618</v>
      </c>
    </row>
    <row r="8094" spans="35:37">
      <c r="AI8094" s="468">
        <v>50466</v>
      </c>
      <c r="AJ8094" s="5" t="s">
        <v>3624</v>
      </c>
      <c r="AK8094" s="5" t="s">
        <v>3620</v>
      </c>
    </row>
    <row r="8095" spans="35:37">
      <c r="AI8095" s="468">
        <v>50467</v>
      </c>
      <c r="AJ8095" s="5" t="s">
        <v>3626</v>
      </c>
      <c r="AK8095" s="5" t="s">
        <v>3622</v>
      </c>
    </row>
    <row r="8096" spans="35:37">
      <c r="AI8096" s="468">
        <v>50468</v>
      </c>
      <c r="AJ8096" s="5" t="s">
        <v>3628</v>
      </c>
      <c r="AK8096" s="5" t="s">
        <v>3623</v>
      </c>
    </row>
    <row r="8097" spans="35:37">
      <c r="AI8097" s="468">
        <v>50469</v>
      </c>
      <c r="AJ8097" s="5" t="s">
        <v>3617</v>
      </c>
      <c r="AK8097" s="5" t="s">
        <v>3625</v>
      </c>
    </row>
    <row r="8098" spans="35:37">
      <c r="AI8098" s="468">
        <v>50470</v>
      </c>
      <c r="AJ8098" s="5" t="s">
        <v>3619</v>
      </c>
      <c r="AK8098" s="5" t="s">
        <v>3618</v>
      </c>
    </row>
    <row r="8099" spans="35:37">
      <c r="AI8099" s="468">
        <v>50471</v>
      </c>
      <c r="AJ8099" s="5" t="s">
        <v>3621</v>
      </c>
      <c r="AK8099" s="5" t="s">
        <v>3620</v>
      </c>
    </row>
    <row r="8100" spans="35:37">
      <c r="AI8100" s="468">
        <v>50472</v>
      </c>
      <c r="AJ8100" s="5" t="s">
        <v>3579</v>
      </c>
      <c r="AK8100" s="5" t="s">
        <v>3622</v>
      </c>
    </row>
    <row r="8101" spans="35:37">
      <c r="AI8101" s="468">
        <v>50473</v>
      </c>
      <c r="AJ8101" s="5" t="s">
        <v>3624</v>
      </c>
      <c r="AK8101" s="5" t="s">
        <v>3623</v>
      </c>
    </row>
    <row r="8102" spans="35:37">
      <c r="AI8102" s="468">
        <v>50474</v>
      </c>
      <c r="AJ8102" s="5" t="s">
        <v>3626</v>
      </c>
      <c r="AK8102" s="5" t="s">
        <v>3625</v>
      </c>
    </row>
    <row r="8103" spans="35:37">
      <c r="AI8103" s="468">
        <v>50475</v>
      </c>
      <c r="AJ8103" s="5" t="s">
        <v>3628</v>
      </c>
      <c r="AK8103" s="5" t="s">
        <v>3627</v>
      </c>
    </row>
    <row r="8104" spans="35:37">
      <c r="AI8104" s="468">
        <v>50476</v>
      </c>
      <c r="AJ8104" s="5" t="s">
        <v>3617</v>
      </c>
      <c r="AK8104" s="5" t="s">
        <v>3618</v>
      </c>
    </row>
    <row r="8105" spans="35:37">
      <c r="AI8105" s="468">
        <v>50477</v>
      </c>
      <c r="AJ8105" s="5" t="s">
        <v>3619</v>
      </c>
      <c r="AK8105" s="5" t="s">
        <v>3620</v>
      </c>
    </row>
    <row r="8106" spans="35:37">
      <c r="AI8106" s="468">
        <v>50478</v>
      </c>
      <c r="AJ8106" s="5" t="s">
        <v>3621</v>
      </c>
      <c r="AK8106" s="5" t="s">
        <v>3622</v>
      </c>
    </row>
    <row r="8107" spans="35:37">
      <c r="AI8107" s="468">
        <v>50479</v>
      </c>
      <c r="AJ8107" s="5" t="s">
        <v>3579</v>
      </c>
      <c r="AK8107" s="5" t="s">
        <v>3623</v>
      </c>
    </row>
    <row r="8108" spans="35:37">
      <c r="AI8108" s="468">
        <v>50480</v>
      </c>
      <c r="AJ8108" s="5" t="s">
        <v>3624</v>
      </c>
      <c r="AK8108" s="5" t="s">
        <v>3625</v>
      </c>
    </row>
    <row r="8109" spans="35:37">
      <c r="AI8109" s="468">
        <v>50481</v>
      </c>
      <c r="AJ8109" s="5" t="s">
        <v>3626</v>
      </c>
      <c r="AK8109" s="5" t="s">
        <v>3627</v>
      </c>
    </row>
    <row r="8110" spans="35:37">
      <c r="AI8110" s="468">
        <v>50482</v>
      </c>
      <c r="AJ8110" s="5" t="s">
        <v>3628</v>
      </c>
      <c r="AK8110" s="5" t="s">
        <v>3618</v>
      </c>
    </row>
    <row r="8111" spans="35:37">
      <c r="AI8111" s="468">
        <v>50483</v>
      </c>
      <c r="AJ8111" s="5" t="s">
        <v>3617</v>
      </c>
      <c r="AK8111" s="5" t="s">
        <v>3620</v>
      </c>
    </row>
    <row r="8112" spans="35:37">
      <c r="AI8112" s="468">
        <v>50484</v>
      </c>
      <c r="AJ8112" s="5" t="s">
        <v>3619</v>
      </c>
      <c r="AK8112" s="5" t="s">
        <v>3622</v>
      </c>
    </row>
    <row r="8113" spans="35:37">
      <c r="AI8113" s="468">
        <v>50485</v>
      </c>
      <c r="AJ8113" s="5" t="s">
        <v>3621</v>
      </c>
      <c r="AK8113" s="5" t="s">
        <v>3623</v>
      </c>
    </row>
    <row r="8114" spans="35:37">
      <c r="AI8114" s="468">
        <v>50486</v>
      </c>
      <c r="AJ8114" s="5" t="s">
        <v>3579</v>
      </c>
      <c r="AK8114" s="5" t="s">
        <v>3625</v>
      </c>
    </row>
    <row r="8115" spans="35:37">
      <c r="AI8115" s="468">
        <v>50487</v>
      </c>
      <c r="AJ8115" s="5" t="s">
        <v>3624</v>
      </c>
      <c r="AK8115" s="5" t="s">
        <v>3627</v>
      </c>
    </row>
    <row r="8116" spans="35:37">
      <c r="AI8116" s="468">
        <v>50488</v>
      </c>
      <c r="AJ8116" s="5" t="s">
        <v>3626</v>
      </c>
      <c r="AK8116" s="5" t="s">
        <v>3618</v>
      </c>
    </row>
    <row r="8117" spans="35:37">
      <c r="AI8117" s="468">
        <v>50489</v>
      </c>
      <c r="AJ8117" s="5" t="s">
        <v>3628</v>
      </c>
      <c r="AK8117" s="5" t="s">
        <v>3620</v>
      </c>
    </row>
    <row r="8118" spans="35:37">
      <c r="AI8118" s="468">
        <v>50490</v>
      </c>
      <c r="AJ8118" s="5" t="s">
        <v>3617</v>
      </c>
      <c r="AK8118" s="5" t="s">
        <v>3622</v>
      </c>
    </row>
    <row r="8119" spans="35:37">
      <c r="AI8119" s="468">
        <v>50491</v>
      </c>
      <c r="AJ8119" s="5" t="s">
        <v>3619</v>
      </c>
      <c r="AK8119" s="5" t="s">
        <v>3623</v>
      </c>
    </row>
    <row r="8120" spans="35:37">
      <c r="AI8120" s="468">
        <v>50492</v>
      </c>
      <c r="AJ8120" s="5" t="s">
        <v>3621</v>
      </c>
      <c r="AK8120" s="5" t="s">
        <v>3625</v>
      </c>
    </row>
    <row r="8121" spans="35:37">
      <c r="AI8121" s="468">
        <v>50493</v>
      </c>
      <c r="AJ8121" s="5" t="s">
        <v>3579</v>
      </c>
      <c r="AK8121" s="5" t="s">
        <v>3627</v>
      </c>
    </row>
    <row r="8122" spans="35:37">
      <c r="AI8122" s="468">
        <v>50494</v>
      </c>
      <c r="AJ8122" s="5" t="s">
        <v>3624</v>
      </c>
      <c r="AK8122" s="5" t="s">
        <v>3618</v>
      </c>
    </row>
    <row r="8123" spans="35:37">
      <c r="AI8123" s="468">
        <v>50495</v>
      </c>
      <c r="AJ8123" s="5" t="s">
        <v>3626</v>
      </c>
      <c r="AK8123" s="5" t="s">
        <v>3620</v>
      </c>
    </row>
    <row r="8124" spans="35:37">
      <c r="AI8124" s="468">
        <v>50496</v>
      </c>
      <c r="AJ8124" s="5" t="s">
        <v>3628</v>
      </c>
      <c r="AK8124" s="5" t="s">
        <v>3622</v>
      </c>
    </row>
    <row r="8125" spans="35:37">
      <c r="AI8125" s="468">
        <v>50497</v>
      </c>
      <c r="AJ8125" s="5" t="s">
        <v>3617</v>
      </c>
      <c r="AK8125" s="5" t="s">
        <v>3623</v>
      </c>
    </row>
    <row r="8126" spans="35:37">
      <c r="AI8126" s="468">
        <v>50498</v>
      </c>
      <c r="AJ8126" s="5" t="s">
        <v>3619</v>
      </c>
      <c r="AK8126" s="5" t="s">
        <v>3625</v>
      </c>
    </row>
    <row r="8127" spans="35:37">
      <c r="AI8127" s="468">
        <v>50499</v>
      </c>
      <c r="AJ8127" s="5" t="s">
        <v>3621</v>
      </c>
      <c r="AK8127" s="5" t="s">
        <v>3627</v>
      </c>
    </row>
    <row r="8128" spans="35:37">
      <c r="AI8128" s="468">
        <v>50500</v>
      </c>
      <c r="AJ8128" s="5" t="s">
        <v>3579</v>
      </c>
      <c r="AK8128" s="5" t="s">
        <v>3620</v>
      </c>
    </row>
    <row r="8129" spans="35:37">
      <c r="AI8129" s="468">
        <v>50501</v>
      </c>
      <c r="AJ8129" s="5" t="s">
        <v>3624</v>
      </c>
      <c r="AK8129" s="5" t="s">
        <v>3622</v>
      </c>
    </row>
    <row r="8130" spans="35:37">
      <c r="AI8130" s="468">
        <v>50502</v>
      </c>
      <c r="AJ8130" s="5" t="s">
        <v>3626</v>
      </c>
      <c r="AK8130" s="5" t="s">
        <v>3623</v>
      </c>
    </row>
    <row r="8131" spans="35:37">
      <c r="AI8131" s="468">
        <v>50503</v>
      </c>
      <c r="AJ8131" s="5" t="s">
        <v>3628</v>
      </c>
      <c r="AK8131" s="5" t="s">
        <v>3625</v>
      </c>
    </row>
    <row r="8132" spans="35:37">
      <c r="AI8132" s="468">
        <v>50504</v>
      </c>
      <c r="AJ8132" s="5" t="s">
        <v>3617</v>
      </c>
      <c r="AK8132" s="5" t="s">
        <v>3627</v>
      </c>
    </row>
    <row r="8133" spans="35:37">
      <c r="AI8133" s="468">
        <v>50505</v>
      </c>
      <c r="AJ8133" s="5" t="s">
        <v>3619</v>
      </c>
      <c r="AK8133" s="5" t="s">
        <v>3618</v>
      </c>
    </row>
    <row r="8134" spans="35:37">
      <c r="AI8134" s="468">
        <v>50506</v>
      </c>
      <c r="AJ8134" s="5" t="s">
        <v>3621</v>
      </c>
      <c r="AK8134" s="5" t="s">
        <v>3620</v>
      </c>
    </row>
    <row r="8135" spans="35:37">
      <c r="AI8135" s="468">
        <v>50507</v>
      </c>
      <c r="AJ8135" s="5" t="s">
        <v>3579</v>
      </c>
      <c r="AK8135" s="5" t="s">
        <v>3622</v>
      </c>
    </row>
    <row r="8136" spans="35:37">
      <c r="AI8136" s="468">
        <v>50508</v>
      </c>
      <c r="AJ8136" s="5" t="s">
        <v>3624</v>
      </c>
      <c r="AK8136" s="5" t="s">
        <v>3623</v>
      </c>
    </row>
    <row r="8137" spans="35:37">
      <c r="AI8137" s="468">
        <v>50509</v>
      </c>
      <c r="AJ8137" s="5" t="s">
        <v>3626</v>
      </c>
      <c r="AK8137" s="5" t="s">
        <v>3625</v>
      </c>
    </row>
    <row r="8138" spans="35:37">
      <c r="AI8138" s="468">
        <v>50510</v>
      </c>
      <c r="AJ8138" s="5" t="s">
        <v>3628</v>
      </c>
      <c r="AK8138" s="5" t="s">
        <v>3627</v>
      </c>
    </row>
    <row r="8139" spans="35:37">
      <c r="AI8139" s="468">
        <v>50511</v>
      </c>
      <c r="AJ8139" s="5" t="s">
        <v>3617</v>
      </c>
      <c r="AK8139" s="5" t="s">
        <v>3618</v>
      </c>
    </row>
    <row r="8140" spans="35:37">
      <c r="AI8140" s="468">
        <v>50512</v>
      </c>
      <c r="AJ8140" s="5" t="s">
        <v>3619</v>
      </c>
      <c r="AK8140" s="5" t="s">
        <v>3620</v>
      </c>
    </row>
    <row r="8141" spans="35:37">
      <c r="AI8141" s="468">
        <v>50513</v>
      </c>
      <c r="AJ8141" s="5" t="s">
        <v>3621</v>
      </c>
      <c r="AK8141" s="5" t="s">
        <v>3622</v>
      </c>
    </row>
    <row r="8142" spans="35:37">
      <c r="AI8142" s="468">
        <v>50514</v>
      </c>
      <c r="AJ8142" s="5" t="s">
        <v>3579</v>
      </c>
      <c r="AK8142" s="5" t="s">
        <v>3623</v>
      </c>
    </row>
    <row r="8143" spans="35:37">
      <c r="AI8143" s="468">
        <v>50515</v>
      </c>
      <c r="AJ8143" s="5" t="s">
        <v>3624</v>
      </c>
      <c r="AK8143" s="5" t="s">
        <v>3625</v>
      </c>
    </row>
    <row r="8144" spans="35:37">
      <c r="AI8144" s="468">
        <v>50516</v>
      </c>
      <c r="AJ8144" s="5" t="s">
        <v>3626</v>
      </c>
      <c r="AK8144" s="5" t="s">
        <v>3627</v>
      </c>
    </row>
    <row r="8145" spans="35:37">
      <c r="AI8145" s="468">
        <v>50517</v>
      </c>
      <c r="AJ8145" s="5" t="s">
        <v>3628</v>
      </c>
      <c r="AK8145" s="5" t="s">
        <v>3618</v>
      </c>
    </row>
    <row r="8146" spans="35:37">
      <c r="AI8146" s="468">
        <v>50518</v>
      </c>
      <c r="AJ8146" s="5" t="s">
        <v>3617</v>
      </c>
      <c r="AK8146" s="5" t="s">
        <v>3620</v>
      </c>
    </row>
    <row r="8147" spans="35:37">
      <c r="AI8147" s="468">
        <v>50519</v>
      </c>
      <c r="AJ8147" s="5" t="s">
        <v>3619</v>
      </c>
      <c r="AK8147" s="5" t="s">
        <v>3622</v>
      </c>
    </row>
    <row r="8148" spans="35:37">
      <c r="AI8148" s="468">
        <v>50520</v>
      </c>
      <c r="AJ8148" s="5" t="s">
        <v>3621</v>
      </c>
      <c r="AK8148" s="5" t="s">
        <v>3623</v>
      </c>
    </row>
    <row r="8149" spans="35:37">
      <c r="AI8149" s="468">
        <v>50521</v>
      </c>
      <c r="AJ8149" s="5" t="s">
        <v>3579</v>
      </c>
      <c r="AK8149" s="5" t="s">
        <v>3625</v>
      </c>
    </row>
    <row r="8150" spans="35:37">
      <c r="AI8150" s="468">
        <v>50522</v>
      </c>
      <c r="AJ8150" s="5" t="s">
        <v>3624</v>
      </c>
      <c r="AK8150" s="5" t="s">
        <v>3627</v>
      </c>
    </row>
    <row r="8151" spans="35:37">
      <c r="AI8151" s="468">
        <v>50523</v>
      </c>
      <c r="AJ8151" s="5" t="s">
        <v>3626</v>
      </c>
      <c r="AK8151" s="5" t="s">
        <v>3618</v>
      </c>
    </row>
    <row r="8152" spans="35:37">
      <c r="AI8152" s="468">
        <v>50524</v>
      </c>
      <c r="AJ8152" s="5" t="s">
        <v>3628</v>
      </c>
      <c r="AK8152" s="5" t="s">
        <v>3620</v>
      </c>
    </row>
    <row r="8153" spans="35:37">
      <c r="AI8153" s="468">
        <v>50525</v>
      </c>
      <c r="AJ8153" s="5" t="s">
        <v>3617</v>
      </c>
      <c r="AK8153" s="5" t="s">
        <v>3622</v>
      </c>
    </row>
    <row r="8154" spans="35:37">
      <c r="AI8154" s="468">
        <v>50526</v>
      </c>
      <c r="AJ8154" s="5" t="s">
        <v>3619</v>
      </c>
      <c r="AK8154" s="5" t="s">
        <v>3623</v>
      </c>
    </row>
    <row r="8155" spans="35:37">
      <c r="AI8155" s="468">
        <v>50527</v>
      </c>
      <c r="AJ8155" s="5" t="s">
        <v>3621</v>
      </c>
      <c r="AK8155" s="5" t="s">
        <v>3625</v>
      </c>
    </row>
    <row r="8156" spans="35:37">
      <c r="AI8156" s="468">
        <v>50528</v>
      </c>
      <c r="AJ8156" s="5" t="s">
        <v>3579</v>
      </c>
      <c r="AK8156" s="5" t="s">
        <v>3627</v>
      </c>
    </row>
    <row r="8157" spans="35:37">
      <c r="AI8157" s="468">
        <v>50529</v>
      </c>
      <c r="AJ8157" s="5" t="s">
        <v>3624</v>
      </c>
      <c r="AK8157" s="5" t="s">
        <v>3622</v>
      </c>
    </row>
    <row r="8158" spans="35:37">
      <c r="AI8158" s="468">
        <v>50530</v>
      </c>
      <c r="AJ8158" s="5" t="s">
        <v>3626</v>
      </c>
      <c r="AK8158" s="5" t="s">
        <v>3623</v>
      </c>
    </row>
    <row r="8159" spans="35:37">
      <c r="AI8159" s="468">
        <v>50531</v>
      </c>
      <c r="AJ8159" s="5" t="s">
        <v>3628</v>
      </c>
      <c r="AK8159" s="5" t="s">
        <v>3625</v>
      </c>
    </row>
    <row r="8160" spans="35:37">
      <c r="AI8160" s="468">
        <v>50532</v>
      </c>
      <c r="AJ8160" s="5" t="s">
        <v>3617</v>
      </c>
      <c r="AK8160" s="5" t="s">
        <v>3627</v>
      </c>
    </row>
    <row r="8161" spans="35:37">
      <c r="AI8161" s="468">
        <v>50533</v>
      </c>
      <c r="AJ8161" s="5" t="s">
        <v>3619</v>
      </c>
      <c r="AK8161" s="5" t="s">
        <v>3618</v>
      </c>
    </row>
    <row r="8162" spans="35:37">
      <c r="AI8162" s="468">
        <v>50534</v>
      </c>
      <c r="AJ8162" s="5" t="s">
        <v>3621</v>
      </c>
      <c r="AK8162" s="5" t="s">
        <v>3620</v>
      </c>
    </row>
    <row r="8163" spans="35:37">
      <c r="AI8163" s="468">
        <v>50535</v>
      </c>
      <c r="AJ8163" s="5" t="s">
        <v>3579</v>
      </c>
      <c r="AK8163" s="5" t="s">
        <v>3622</v>
      </c>
    </row>
    <row r="8164" spans="35:37">
      <c r="AI8164" s="468">
        <v>50536</v>
      </c>
      <c r="AJ8164" s="5" t="s">
        <v>3624</v>
      </c>
      <c r="AK8164" s="5" t="s">
        <v>3623</v>
      </c>
    </row>
    <row r="8165" spans="35:37">
      <c r="AI8165" s="468">
        <v>50537</v>
      </c>
      <c r="AJ8165" s="5" t="s">
        <v>3626</v>
      </c>
      <c r="AK8165" s="5" t="s">
        <v>3625</v>
      </c>
    </row>
    <row r="8166" spans="35:37">
      <c r="AI8166" s="468">
        <v>50538</v>
      </c>
      <c r="AJ8166" s="5" t="s">
        <v>3628</v>
      </c>
      <c r="AK8166" s="5" t="s">
        <v>3627</v>
      </c>
    </row>
    <row r="8167" spans="35:37">
      <c r="AI8167" s="468">
        <v>50539</v>
      </c>
      <c r="AJ8167" s="5" t="s">
        <v>3617</v>
      </c>
      <c r="AK8167" s="5" t="s">
        <v>3618</v>
      </c>
    </row>
    <row r="8168" spans="35:37">
      <c r="AI8168" s="468">
        <v>50540</v>
      </c>
      <c r="AJ8168" s="5" t="s">
        <v>3619</v>
      </c>
      <c r="AK8168" s="5" t="s">
        <v>3620</v>
      </c>
    </row>
    <row r="8169" spans="35:37">
      <c r="AI8169" s="468">
        <v>50541</v>
      </c>
      <c r="AJ8169" s="5" t="s">
        <v>3621</v>
      </c>
      <c r="AK8169" s="5" t="s">
        <v>3622</v>
      </c>
    </row>
    <row r="8170" spans="35:37">
      <c r="AI8170" s="468">
        <v>50542</v>
      </c>
      <c r="AJ8170" s="5" t="s">
        <v>3579</v>
      </c>
      <c r="AK8170" s="5" t="s">
        <v>3623</v>
      </c>
    </row>
    <row r="8171" spans="35:37">
      <c r="AI8171" s="468">
        <v>50543</v>
      </c>
      <c r="AJ8171" s="5" t="s">
        <v>3624</v>
      </c>
      <c r="AK8171" s="5" t="s">
        <v>3625</v>
      </c>
    </row>
    <row r="8172" spans="35:37">
      <c r="AI8172" s="468">
        <v>50544</v>
      </c>
      <c r="AJ8172" s="5" t="s">
        <v>3626</v>
      </c>
      <c r="AK8172" s="5" t="s">
        <v>3627</v>
      </c>
    </row>
    <row r="8173" spans="35:37">
      <c r="AI8173" s="468">
        <v>50545</v>
      </c>
      <c r="AJ8173" s="5" t="s">
        <v>3628</v>
      </c>
      <c r="AK8173" s="5" t="s">
        <v>3618</v>
      </c>
    </row>
    <row r="8174" spans="35:37">
      <c r="AI8174" s="468">
        <v>50546</v>
      </c>
      <c r="AJ8174" s="5" t="s">
        <v>3617</v>
      </c>
      <c r="AK8174" s="5" t="s">
        <v>3620</v>
      </c>
    </row>
    <row r="8175" spans="35:37">
      <c r="AI8175" s="468">
        <v>50547</v>
      </c>
      <c r="AJ8175" s="5" t="s">
        <v>3619</v>
      </c>
      <c r="AK8175" s="5" t="s">
        <v>3622</v>
      </c>
    </row>
    <row r="8176" spans="35:37">
      <c r="AI8176" s="468">
        <v>50548</v>
      </c>
      <c r="AJ8176" s="5" t="s">
        <v>3621</v>
      </c>
      <c r="AK8176" s="5" t="s">
        <v>3623</v>
      </c>
    </row>
    <row r="8177" spans="35:37">
      <c r="AI8177" s="468">
        <v>50549</v>
      </c>
      <c r="AJ8177" s="5" t="s">
        <v>3579</v>
      </c>
      <c r="AK8177" s="5" t="s">
        <v>3625</v>
      </c>
    </row>
    <row r="8178" spans="35:37">
      <c r="AI8178" s="468">
        <v>50550</v>
      </c>
      <c r="AJ8178" s="5" t="s">
        <v>3624</v>
      </c>
      <c r="AK8178" s="5" t="s">
        <v>3627</v>
      </c>
    </row>
    <row r="8179" spans="35:37">
      <c r="AI8179" s="468">
        <v>50551</v>
      </c>
      <c r="AJ8179" s="5" t="s">
        <v>3626</v>
      </c>
      <c r="AK8179" s="5" t="s">
        <v>3618</v>
      </c>
    </row>
    <row r="8180" spans="35:37">
      <c r="AI8180" s="468">
        <v>50552</v>
      </c>
      <c r="AJ8180" s="5" t="s">
        <v>3628</v>
      </c>
      <c r="AK8180" s="5" t="s">
        <v>3620</v>
      </c>
    </row>
    <row r="8181" spans="35:37">
      <c r="AI8181" s="468">
        <v>50553</v>
      </c>
      <c r="AJ8181" s="5" t="s">
        <v>3617</v>
      </c>
      <c r="AK8181" s="5" t="s">
        <v>3622</v>
      </c>
    </row>
    <row r="8182" spans="35:37">
      <c r="AI8182" s="468">
        <v>50554</v>
      </c>
      <c r="AJ8182" s="5" t="s">
        <v>3619</v>
      </c>
      <c r="AK8182" s="5" t="s">
        <v>3623</v>
      </c>
    </row>
    <row r="8183" spans="35:37">
      <c r="AI8183" s="468">
        <v>50555</v>
      </c>
      <c r="AJ8183" s="5" t="s">
        <v>3621</v>
      </c>
      <c r="AK8183" s="5" t="s">
        <v>3625</v>
      </c>
    </row>
    <row r="8184" spans="35:37">
      <c r="AI8184" s="468">
        <v>50556</v>
      </c>
      <c r="AJ8184" s="5" t="s">
        <v>3579</v>
      </c>
      <c r="AK8184" s="5" t="s">
        <v>3627</v>
      </c>
    </row>
    <row r="8185" spans="35:37">
      <c r="AI8185" s="468">
        <v>50557</v>
      </c>
      <c r="AJ8185" s="5" t="s">
        <v>3624</v>
      </c>
      <c r="AK8185" s="5" t="s">
        <v>3618</v>
      </c>
    </row>
    <row r="8186" spans="35:37">
      <c r="AI8186" s="468">
        <v>50558</v>
      </c>
      <c r="AJ8186" s="5" t="s">
        <v>3626</v>
      </c>
      <c r="AK8186" s="5" t="s">
        <v>3620</v>
      </c>
    </row>
    <row r="8187" spans="35:37">
      <c r="AI8187" s="468">
        <v>50559</v>
      </c>
      <c r="AJ8187" s="5" t="s">
        <v>3628</v>
      </c>
      <c r="AK8187" s="5" t="s">
        <v>3623</v>
      </c>
    </row>
    <row r="8188" spans="35:37">
      <c r="AI8188" s="468">
        <v>50560</v>
      </c>
      <c r="AJ8188" s="5" t="s">
        <v>3617</v>
      </c>
      <c r="AK8188" s="5" t="s">
        <v>3625</v>
      </c>
    </row>
    <row r="8189" spans="35:37">
      <c r="AI8189" s="468">
        <v>50561</v>
      </c>
      <c r="AJ8189" s="5" t="s">
        <v>3619</v>
      </c>
      <c r="AK8189" s="5" t="s">
        <v>3627</v>
      </c>
    </row>
    <row r="8190" spans="35:37">
      <c r="AI8190" s="468">
        <v>50562</v>
      </c>
      <c r="AJ8190" s="5" t="s">
        <v>3621</v>
      </c>
      <c r="AK8190" s="5" t="s">
        <v>3618</v>
      </c>
    </row>
    <row r="8191" spans="35:37">
      <c r="AI8191" s="468">
        <v>50563</v>
      </c>
      <c r="AJ8191" s="5" t="s">
        <v>3579</v>
      </c>
      <c r="AK8191" s="5" t="s">
        <v>3620</v>
      </c>
    </row>
    <row r="8192" spans="35:37">
      <c r="AI8192" s="468">
        <v>50564</v>
      </c>
      <c r="AJ8192" s="5" t="s">
        <v>3624</v>
      </c>
      <c r="AK8192" s="5" t="s">
        <v>3622</v>
      </c>
    </row>
    <row r="8193" spans="35:37">
      <c r="AI8193" s="468">
        <v>50565</v>
      </c>
      <c r="AJ8193" s="5" t="s">
        <v>3626</v>
      </c>
      <c r="AK8193" s="5" t="s">
        <v>3623</v>
      </c>
    </row>
    <row r="8194" spans="35:37">
      <c r="AI8194" s="468">
        <v>50566</v>
      </c>
      <c r="AJ8194" s="5" t="s">
        <v>3628</v>
      </c>
      <c r="AK8194" s="5" t="s">
        <v>3625</v>
      </c>
    </row>
    <row r="8195" spans="35:37">
      <c r="AI8195" s="468">
        <v>50567</v>
      </c>
      <c r="AJ8195" s="5" t="s">
        <v>3617</v>
      </c>
      <c r="AK8195" s="5" t="s">
        <v>3627</v>
      </c>
    </row>
    <row r="8196" spans="35:37">
      <c r="AI8196" s="468">
        <v>50568</v>
      </c>
      <c r="AJ8196" s="5" t="s">
        <v>3619</v>
      </c>
      <c r="AK8196" s="5" t="s">
        <v>3618</v>
      </c>
    </row>
    <row r="8197" spans="35:37">
      <c r="AI8197" s="468">
        <v>50569</v>
      </c>
      <c r="AJ8197" s="5" t="s">
        <v>3621</v>
      </c>
      <c r="AK8197" s="5" t="s">
        <v>3620</v>
      </c>
    </row>
    <row r="8198" spans="35:37">
      <c r="AI8198" s="468">
        <v>50570</v>
      </c>
      <c r="AJ8198" s="5" t="s">
        <v>3579</v>
      </c>
      <c r="AK8198" s="5" t="s">
        <v>3622</v>
      </c>
    </row>
    <row r="8199" spans="35:37">
      <c r="AI8199" s="468">
        <v>50571</v>
      </c>
      <c r="AJ8199" s="5" t="s">
        <v>3624</v>
      </c>
      <c r="AK8199" s="5" t="s">
        <v>3623</v>
      </c>
    </row>
    <row r="8200" spans="35:37">
      <c r="AI8200" s="468">
        <v>50572</v>
      </c>
      <c r="AJ8200" s="5" t="s">
        <v>3626</v>
      </c>
      <c r="AK8200" s="5" t="s">
        <v>3625</v>
      </c>
    </row>
    <row r="8201" spans="35:37">
      <c r="AI8201" s="468">
        <v>50573</v>
      </c>
      <c r="AJ8201" s="5" t="s">
        <v>3628</v>
      </c>
      <c r="AK8201" s="5" t="s">
        <v>3627</v>
      </c>
    </row>
    <row r="8202" spans="35:37">
      <c r="AI8202" s="468">
        <v>50574</v>
      </c>
      <c r="AJ8202" s="5" t="s">
        <v>3617</v>
      </c>
      <c r="AK8202" s="5" t="s">
        <v>3618</v>
      </c>
    </row>
    <row r="8203" spans="35:37">
      <c r="AI8203" s="468">
        <v>50575</v>
      </c>
      <c r="AJ8203" s="5" t="s">
        <v>3619</v>
      </c>
      <c r="AK8203" s="5" t="s">
        <v>3620</v>
      </c>
    </row>
    <row r="8204" spans="35:37">
      <c r="AI8204" s="468">
        <v>50576</v>
      </c>
      <c r="AJ8204" s="5" t="s">
        <v>3621</v>
      </c>
      <c r="AK8204" s="5" t="s">
        <v>3622</v>
      </c>
    </row>
    <row r="8205" spans="35:37">
      <c r="AI8205" s="468">
        <v>50577</v>
      </c>
      <c r="AJ8205" s="5" t="s">
        <v>3579</v>
      </c>
      <c r="AK8205" s="5" t="s">
        <v>3623</v>
      </c>
    </row>
    <row r="8206" spans="35:37">
      <c r="AI8206" s="468">
        <v>50578</v>
      </c>
      <c r="AJ8206" s="5" t="s">
        <v>3624</v>
      </c>
      <c r="AK8206" s="5" t="s">
        <v>3625</v>
      </c>
    </row>
    <row r="8207" spans="35:37">
      <c r="AI8207" s="468">
        <v>50579</v>
      </c>
      <c r="AJ8207" s="5" t="s">
        <v>3626</v>
      </c>
      <c r="AK8207" s="5" t="s">
        <v>3627</v>
      </c>
    </row>
    <row r="8208" spans="35:37">
      <c r="AI8208" s="468">
        <v>50580</v>
      </c>
      <c r="AJ8208" s="5" t="s">
        <v>3628</v>
      </c>
      <c r="AK8208" s="5" t="s">
        <v>3618</v>
      </c>
    </row>
    <row r="8209" spans="35:37">
      <c r="AI8209" s="468">
        <v>50581</v>
      </c>
      <c r="AJ8209" s="5" t="s">
        <v>3617</v>
      </c>
      <c r="AK8209" s="5" t="s">
        <v>3620</v>
      </c>
    </row>
    <row r="8210" spans="35:37">
      <c r="AI8210" s="468">
        <v>50582</v>
      </c>
      <c r="AJ8210" s="5" t="s">
        <v>3619</v>
      </c>
      <c r="AK8210" s="5" t="s">
        <v>3622</v>
      </c>
    </row>
    <row r="8211" spans="35:37">
      <c r="AI8211" s="468">
        <v>50583</v>
      </c>
      <c r="AJ8211" s="5" t="s">
        <v>3621</v>
      </c>
      <c r="AK8211" s="5" t="s">
        <v>3623</v>
      </c>
    </row>
    <row r="8212" spans="35:37">
      <c r="AI8212" s="468">
        <v>50584</v>
      </c>
      <c r="AJ8212" s="5" t="s">
        <v>3579</v>
      </c>
      <c r="AK8212" s="5" t="s">
        <v>3625</v>
      </c>
    </row>
    <row r="8213" spans="35:37">
      <c r="AI8213" s="468">
        <v>50585</v>
      </c>
      <c r="AJ8213" s="5" t="s">
        <v>3624</v>
      </c>
      <c r="AK8213" s="5" t="s">
        <v>3627</v>
      </c>
    </row>
    <row r="8214" spans="35:37">
      <c r="AI8214" s="468">
        <v>50586</v>
      </c>
      <c r="AJ8214" s="5" t="s">
        <v>3626</v>
      </c>
      <c r="AK8214" s="5" t="s">
        <v>3618</v>
      </c>
    </row>
    <row r="8215" spans="35:37">
      <c r="AI8215" s="468">
        <v>50587</v>
      </c>
      <c r="AJ8215" s="5" t="s">
        <v>3628</v>
      </c>
      <c r="AK8215" s="5" t="s">
        <v>3620</v>
      </c>
    </row>
    <row r="8216" spans="35:37">
      <c r="AI8216" s="468">
        <v>50588</v>
      </c>
      <c r="AJ8216" s="5" t="s">
        <v>3617</v>
      </c>
      <c r="AK8216" s="5" t="s">
        <v>3625</v>
      </c>
    </row>
    <row r="8217" spans="35:37">
      <c r="AI8217" s="468">
        <v>50589</v>
      </c>
      <c r="AJ8217" s="5" t="s">
        <v>3619</v>
      </c>
      <c r="AK8217" s="5" t="s">
        <v>3627</v>
      </c>
    </row>
    <row r="8218" spans="35:37">
      <c r="AI8218" s="468">
        <v>50590</v>
      </c>
      <c r="AJ8218" s="5" t="s">
        <v>3621</v>
      </c>
      <c r="AK8218" s="5" t="s">
        <v>3618</v>
      </c>
    </row>
    <row r="8219" spans="35:37">
      <c r="AI8219" s="468">
        <v>50591</v>
      </c>
      <c r="AJ8219" s="5" t="s">
        <v>3579</v>
      </c>
      <c r="AK8219" s="5" t="s">
        <v>3620</v>
      </c>
    </row>
    <row r="8220" spans="35:37">
      <c r="AI8220" s="468">
        <v>50592</v>
      </c>
      <c r="AJ8220" s="5" t="s">
        <v>3624</v>
      </c>
      <c r="AK8220" s="5" t="s">
        <v>3622</v>
      </c>
    </row>
    <row r="8221" spans="35:37">
      <c r="AI8221" s="468">
        <v>50593</v>
      </c>
      <c r="AJ8221" s="5" t="s">
        <v>3626</v>
      </c>
      <c r="AK8221" s="5" t="s">
        <v>3623</v>
      </c>
    </row>
    <row r="8222" spans="35:37">
      <c r="AI8222" s="468">
        <v>50594</v>
      </c>
      <c r="AJ8222" s="5" t="s">
        <v>3628</v>
      </c>
      <c r="AK8222" s="5" t="s">
        <v>3625</v>
      </c>
    </row>
    <row r="8223" spans="35:37">
      <c r="AI8223" s="468">
        <v>50595</v>
      </c>
      <c r="AJ8223" s="5" t="s">
        <v>3617</v>
      </c>
      <c r="AK8223" s="5" t="s">
        <v>3627</v>
      </c>
    </row>
    <row r="8224" spans="35:37">
      <c r="AI8224" s="468">
        <v>50596</v>
      </c>
      <c r="AJ8224" s="5" t="s">
        <v>3619</v>
      </c>
      <c r="AK8224" s="5" t="s">
        <v>3618</v>
      </c>
    </row>
    <row r="8225" spans="35:37">
      <c r="AI8225" s="468">
        <v>50597</v>
      </c>
      <c r="AJ8225" s="5" t="s">
        <v>3621</v>
      </c>
      <c r="AK8225" s="5" t="s">
        <v>3620</v>
      </c>
    </row>
    <row r="8226" spans="35:37">
      <c r="AI8226" s="468">
        <v>50598</v>
      </c>
      <c r="AJ8226" s="5" t="s">
        <v>3579</v>
      </c>
      <c r="AK8226" s="5" t="s">
        <v>3622</v>
      </c>
    </row>
    <row r="8227" spans="35:37">
      <c r="AI8227" s="468">
        <v>50599</v>
      </c>
      <c r="AJ8227" s="5" t="s">
        <v>3624</v>
      </c>
      <c r="AK8227" s="5" t="s">
        <v>3623</v>
      </c>
    </row>
    <row r="8228" spans="35:37">
      <c r="AI8228" s="468">
        <v>50600</v>
      </c>
      <c r="AJ8228" s="5" t="s">
        <v>3626</v>
      </c>
      <c r="AK8228" s="5" t="s">
        <v>3625</v>
      </c>
    </row>
    <row r="8229" spans="35:37">
      <c r="AI8229" s="468">
        <v>50601</v>
      </c>
      <c r="AJ8229" s="5" t="s">
        <v>3628</v>
      </c>
      <c r="AK8229" s="5" t="s">
        <v>3627</v>
      </c>
    </row>
    <row r="8230" spans="35:37">
      <c r="AI8230" s="468">
        <v>50602</v>
      </c>
      <c r="AJ8230" s="5" t="s">
        <v>3617</v>
      </c>
      <c r="AK8230" s="5" t="s">
        <v>3618</v>
      </c>
    </row>
    <row r="8231" spans="35:37">
      <c r="AI8231" s="468">
        <v>50603</v>
      </c>
      <c r="AJ8231" s="5" t="s">
        <v>3619</v>
      </c>
      <c r="AK8231" s="5" t="s">
        <v>3620</v>
      </c>
    </row>
    <row r="8232" spans="35:37">
      <c r="AI8232" s="468">
        <v>50604</v>
      </c>
      <c r="AJ8232" s="5" t="s">
        <v>3621</v>
      </c>
      <c r="AK8232" s="5" t="s">
        <v>3622</v>
      </c>
    </row>
    <row r="8233" spans="35:37">
      <c r="AI8233" s="468">
        <v>50605</v>
      </c>
      <c r="AJ8233" s="5" t="s">
        <v>3579</v>
      </c>
      <c r="AK8233" s="5" t="s">
        <v>3623</v>
      </c>
    </row>
    <row r="8234" spans="35:37">
      <c r="AI8234" s="468">
        <v>50606</v>
      </c>
      <c r="AJ8234" s="5" t="s">
        <v>3624</v>
      </c>
      <c r="AK8234" s="5" t="s">
        <v>3625</v>
      </c>
    </row>
    <row r="8235" spans="35:37">
      <c r="AI8235" s="468">
        <v>50607</v>
      </c>
      <c r="AJ8235" s="5" t="s">
        <v>3626</v>
      </c>
      <c r="AK8235" s="5" t="s">
        <v>3627</v>
      </c>
    </row>
    <row r="8236" spans="35:37">
      <c r="AI8236" s="468">
        <v>50608</v>
      </c>
      <c r="AJ8236" s="5" t="s">
        <v>3628</v>
      </c>
      <c r="AK8236" s="5" t="s">
        <v>3618</v>
      </c>
    </row>
    <row r="8237" spans="35:37">
      <c r="AI8237" s="468">
        <v>50609</v>
      </c>
      <c r="AJ8237" s="5" t="s">
        <v>3617</v>
      </c>
      <c r="AK8237" s="5" t="s">
        <v>3620</v>
      </c>
    </row>
    <row r="8238" spans="35:37">
      <c r="AI8238" s="468">
        <v>50610</v>
      </c>
      <c r="AJ8238" s="5" t="s">
        <v>3619</v>
      </c>
      <c r="AK8238" s="5" t="s">
        <v>3622</v>
      </c>
    </row>
    <row r="8239" spans="35:37">
      <c r="AI8239" s="468">
        <v>50611</v>
      </c>
      <c r="AJ8239" s="5" t="s">
        <v>3621</v>
      </c>
      <c r="AK8239" s="5" t="s">
        <v>3623</v>
      </c>
    </row>
    <row r="8240" spans="35:37">
      <c r="AI8240" s="468">
        <v>50612</v>
      </c>
      <c r="AJ8240" s="5" t="s">
        <v>3579</v>
      </c>
      <c r="AK8240" s="5" t="s">
        <v>3625</v>
      </c>
    </row>
    <row r="8241" spans="35:37">
      <c r="AI8241" s="468">
        <v>50613</v>
      </c>
      <c r="AJ8241" s="5" t="s">
        <v>3624</v>
      </c>
      <c r="AK8241" s="5" t="s">
        <v>3627</v>
      </c>
    </row>
    <row r="8242" spans="35:37">
      <c r="AI8242" s="468">
        <v>50614</v>
      </c>
      <c r="AJ8242" s="5" t="s">
        <v>3626</v>
      </c>
      <c r="AK8242" s="5" t="s">
        <v>3618</v>
      </c>
    </row>
    <row r="8243" spans="35:37">
      <c r="AI8243" s="468">
        <v>50615</v>
      </c>
      <c r="AJ8243" s="5" t="s">
        <v>3628</v>
      </c>
      <c r="AK8243" s="5" t="s">
        <v>3620</v>
      </c>
    </row>
    <row r="8244" spans="35:37">
      <c r="AI8244" s="468">
        <v>50616</v>
      </c>
      <c r="AJ8244" s="5" t="s">
        <v>3617</v>
      </c>
      <c r="AK8244" s="5" t="s">
        <v>3622</v>
      </c>
    </row>
    <row r="8245" spans="35:37">
      <c r="AI8245" s="468">
        <v>50617</v>
      </c>
      <c r="AJ8245" s="5" t="s">
        <v>3619</v>
      </c>
      <c r="AK8245" s="5" t="s">
        <v>3623</v>
      </c>
    </row>
    <row r="8246" spans="35:37">
      <c r="AI8246" s="468">
        <v>50618</v>
      </c>
      <c r="AJ8246" s="5" t="s">
        <v>3621</v>
      </c>
      <c r="AK8246" s="5" t="s">
        <v>3627</v>
      </c>
    </row>
    <row r="8247" spans="35:37">
      <c r="AI8247" s="468">
        <v>50619</v>
      </c>
      <c r="AJ8247" s="5" t="s">
        <v>3579</v>
      </c>
      <c r="AK8247" s="5" t="s">
        <v>3618</v>
      </c>
    </row>
    <row r="8248" spans="35:37">
      <c r="AI8248" s="468">
        <v>50620</v>
      </c>
      <c r="AJ8248" s="5" t="s">
        <v>3624</v>
      </c>
      <c r="AK8248" s="5" t="s">
        <v>3620</v>
      </c>
    </row>
    <row r="8249" spans="35:37">
      <c r="AI8249" s="468">
        <v>50621</v>
      </c>
      <c r="AJ8249" s="5" t="s">
        <v>3626</v>
      </c>
      <c r="AK8249" s="5" t="s">
        <v>3622</v>
      </c>
    </row>
    <row r="8250" spans="35:37">
      <c r="AI8250" s="468">
        <v>50622</v>
      </c>
      <c r="AJ8250" s="5" t="s">
        <v>3628</v>
      </c>
      <c r="AK8250" s="5" t="s">
        <v>3623</v>
      </c>
    </row>
    <row r="8251" spans="35:37">
      <c r="AI8251" s="468">
        <v>50623</v>
      </c>
      <c r="AJ8251" s="5" t="s">
        <v>3617</v>
      </c>
      <c r="AK8251" s="5" t="s">
        <v>3625</v>
      </c>
    </row>
    <row r="8252" spans="35:37">
      <c r="AI8252" s="468">
        <v>50624</v>
      </c>
      <c r="AJ8252" s="5" t="s">
        <v>3619</v>
      </c>
      <c r="AK8252" s="5" t="s">
        <v>3627</v>
      </c>
    </row>
    <row r="8253" spans="35:37">
      <c r="AI8253" s="468">
        <v>50625</v>
      </c>
      <c r="AJ8253" s="5" t="s">
        <v>3621</v>
      </c>
      <c r="AK8253" s="5" t="s">
        <v>3618</v>
      </c>
    </row>
    <row r="8254" spans="35:37">
      <c r="AI8254" s="468">
        <v>50626</v>
      </c>
      <c r="AJ8254" s="5" t="s">
        <v>3579</v>
      </c>
      <c r="AK8254" s="5" t="s">
        <v>3620</v>
      </c>
    </row>
    <row r="8255" spans="35:37">
      <c r="AI8255" s="468">
        <v>50627</v>
      </c>
      <c r="AJ8255" s="5" t="s">
        <v>3624</v>
      </c>
      <c r="AK8255" s="5" t="s">
        <v>3622</v>
      </c>
    </row>
    <row r="8256" spans="35:37">
      <c r="AI8256" s="468">
        <v>50628</v>
      </c>
      <c r="AJ8256" s="5" t="s">
        <v>3626</v>
      </c>
      <c r="AK8256" s="5" t="s">
        <v>3623</v>
      </c>
    </row>
    <row r="8257" spans="35:37">
      <c r="AI8257" s="468">
        <v>50629</v>
      </c>
      <c r="AJ8257" s="5" t="s">
        <v>3628</v>
      </c>
      <c r="AK8257" s="5" t="s">
        <v>3625</v>
      </c>
    </row>
    <row r="8258" spans="35:37">
      <c r="AI8258" s="468">
        <v>50630</v>
      </c>
      <c r="AJ8258" s="5" t="s">
        <v>3617</v>
      </c>
      <c r="AK8258" s="5" t="s">
        <v>3627</v>
      </c>
    </row>
    <row r="8259" spans="35:37">
      <c r="AI8259" s="468">
        <v>50631</v>
      </c>
      <c r="AJ8259" s="5" t="s">
        <v>3619</v>
      </c>
      <c r="AK8259" s="5" t="s">
        <v>3618</v>
      </c>
    </row>
    <row r="8260" spans="35:37">
      <c r="AI8260" s="468">
        <v>50632</v>
      </c>
      <c r="AJ8260" s="5" t="s">
        <v>3621</v>
      </c>
      <c r="AK8260" s="5" t="s">
        <v>3620</v>
      </c>
    </row>
    <row r="8261" spans="35:37">
      <c r="AI8261" s="468">
        <v>50633</v>
      </c>
      <c r="AJ8261" s="5" t="s">
        <v>3579</v>
      </c>
      <c r="AK8261" s="5" t="s">
        <v>3622</v>
      </c>
    </row>
    <row r="8262" spans="35:37">
      <c r="AI8262" s="468">
        <v>50634</v>
      </c>
      <c r="AJ8262" s="5" t="s">
        <v>3624</v>
      </c>
      <c r="AK8262" s="5" t="s">
        <v>3623</v>
      </c>
    </row>
    <row r="8263" spans="35:37">
      <c r="AI8263" s="468">
        <v>50635</v>
      </c>
      <c r="AJ8263" s="5" t="s">
        <v>3626</v>
      </c>
      <c r="AK8263" s="5" t="s">
        <v>3625</v>
      </c>
    </row>
    <row r="8264" spans="35:37">
      <c r="AI8264" s="468">
        <v>50636</v>
      </c>
      <c r="AJ8264" s="5" t="s">
        <v>3628</v>
      </c>
      <c r="AK8264" s="5" t="s">
        <v>3627</v>
      </c>
    </row>
    <row r="8265" spans="35:37">
      <c r="AI8265" s="468">
        <v>50637</v>
      </c>
      <c r="AJ8265" s="5" t="s">
        <v>3617</v>
      </c>
      <c r="AK8265" s="5" t="s">
        <v>3618</v>
      </c>
    </row>
    <row r="8266" spans="35:37">
      <c r="AI8266" s="468">
        <v>50638</v>
      </c>
      <c r="AJ8266" s="5" t="s">
        <v>3619</v>
      </c>
      <c r="AK8266" s="5" t="s">
        <v>3620</v>
      </c>
    </row>
    <row r="8267" spans="35:37">
      <c r="AI8267" s="468">
        <v>50639</v>
      </c>
      <c r="AJ8267" s="5" t="s">
        <v>3621</v>
      </c>
      <c r="AK8267" s="5" t="s">
        <v>3622</v>
      </c>
    </row>
    <row r="8268" spans="35:37">
      <c r="AI8268" s="468">
        <v>50640</v>
      </c>
      <c r="AJ8268" s="5" t="s">
        <v>3579</v>
      </c>
      <c r="AK8268" s="5" t="s">
        <v>3623</v>
      </c>
    </row>
    <row r="8269" spans="35:37">
      <c r="AI8269" s="468">
        <v>50641</v>
      </c>
      <c r="AJ8269" s="5" t="s">
        <v>3624</v>
      </c>
      <c r="AK8269" s="5" t="s">
        <v>3625</v>
      </c>
    </row>
    <row r="8270" spans="35:37">
      <c r="AI8270" s="468">
        <v>50642</v>
      </c>
      <c r="AJ8270" s="5" t="s">
        <v>3626</v>
      </c>
      <c r="AK8270" s="5" t="s">
        <v>3627</v>
      </c>
    </row>
    <row r="8271" spans="35:37">
      <c r="AI8271" s="468">
        <v>50643</v>
      </c>
      <c r="AJ8271" s="5" t="s">
        <v>3628</v>
      </c>
      <c r="AK8271" s="5" t="s">
        <v>3618</v>
      </c>
    </row>
    <row r="8272" spans="35:37">
      <c r="AI8272" s="468">
        <v>50644</v>
      </c>
      <c r="AJ8272" s="5" t="s">
        <v>3617</v>
      </c>
      <c r="AK8272" s="5" t="s">
        <v>3620</v>
      </c>
    </row>
    <row r="8273" spans="35:37">
      <c r="AI8273" s="468">
        <v>50645</v>
      </c>
      <c r="AJ8273" s="5" t="s">
        <v>3619</v>
      </c>
      <c r="AK8273" s="5" t="s">
        <v>3622</v>
      </c>
    </row>
    <row r="8274" spans="35:37">
      <c r="AI8274" s="468">
        <v>50646</v>
      </c>
      <c r="AJ8274" s="5" t="s">
        <v>3621</v>
      </c>
      <c r="AK8274" s="5" t="s">
        <v>3623</v>
      </c>
    </row>
    <row r="8275" spans="35:37">
      <c r="AI8275" s="468">
        <v>50647</v>
      </c>
      <c r="AJ8275" s="5" t="s">
        <v>3579</v>
      </c>
      <c r="AK8275" s="5" t="s">
        <v>3618</v>
      </c>
    </row>
    <row r="8276" spans="35:37">
      <c r="AI8276" s="468">
        <v>50648</v>
      </c>
      <c r="AJ8276" s="5" t="s">
        <v>3624</v>
      </c>
      <c r="AK8276" s="5" t="s">
        <v>3620</v>
      </c>
    </row>
    <row r="8277" spans="35:37">
      <c r="AI8277" s="468">
        <v>50649</v>
      </c>
      <c r="AJ8277" s="5" t="s">
        <v>3626</v>
      </c>
      <c r="AK8277" s="5" t="s">
        <v>3622</v>
      </c>
    </row>
    <row r="8278" spans="35:37">
      <c r="AI8278" s="468">
        <v>50650</v>
      </c>
      <c r="AJ8278" s="5" t="s">
        <v>3628</v>
      </c>
      <c r="AK8278" s="5" t="s">
        <v>3623</v>
      </c>
    </row>
    <row r="8279" spans="35:37">
      <c r="AI8279" s="468">
        <v>50651</v>
      </c>
      <c r="AJ8279" s="5" t="s">
        <v>3617</v>
      </c>
      <c r="AK8279" s="5" t="s">
        <v>3625</v>
      </c>
    </row>
    <row r="8280" spans="35:37">
      <c r="AI8280" s="468">
        <v>50652</v>
      </c>
      <c r="AJ8280" s="5" t="s">
        <v>3619</v>
      </c>
      <c r="AK8280" s="5" t="s">
        <v>3627</v>
      </c>
    </row>
    <row r="8281" spans="35:37">
      <c r="AI8281" s="468">
        <v>50653</v>
      </c>
      <c r="AJ8281" s="5" t="s">
        <v>3621</v>
      </c>
      <c r="AK8281" s="5" t="s">
        <v>3618</v>
      </c>
    </row>
    <row r="8282" spans="35:37">
      <c r="AI8282" s="468">
        <v>50654</v>
      </c>
      <c r="AJ8282" s="5" t="s">
        <v>3579</v>
      </c>
      <c r="AK8282" s="5" t="s">
        <v>3620</v>
      </c>
    </row>
    <row r="8283" spans="35:37">
      <c r="AI8283" s="468">
        <v>50655</v>
      </c>
      <c r="AJ8283" s="5" t="s">
        <v>3624</v>
      </c>
      <c r="AK8283" s="5" t="s">
        <v>3622</v>
      </c>
    </row>
    <row r="8284" spans="35:37">
      <c r="AI8284" s="468">
        <v>50656</v>
      </c>
      <c r="AJ8284" s="5" t="s">
        <v>3626</v>
      </c>
      <c r="AK8284" s="5" t="s">
        <v>3623</v>
      </c>
    </row>
    <row r="8285" spans="35:37">
      <c r="AI8285" s="468">
        <v>50657</v>
      </c>
      <c r="AJ8285" s="5" t="s">
        <v>3628</v>
      </c>
      <c r="AK8285" s="5" t="s">
        <v>3625</v>
      </c>
    </row>
    <row r="8286" spans="35:37">
      <c r="AI8286" s="468">
        <v>50658</v>
      </c>
      <c r="AJ8286" s="5" t="s">
        <v>3617</v>
      </c>
      <c r="AK8286" s="5" t="s">
        <v>3627</v>
      </c>
    </row>
    <row r="8287" spans="35:37">
      <c r="AI8287" s="468">
        <v>50659</v>
      </c>
      <c r="AJ8287" s="5" t="s">
        <v>3619</v>
      </c>
      <c r="AK8287" s="5" t="s">
        <v>3618</v>
      </c>
    </row>
    <row r="8288" spans="35:37">
      <c r="AI8288" s="468">
        <v>50660</v>
      </c>
      <c r="AJ8288" s="5" t="s">
        <v>3621</v>
      </c>
      <c r="AK8288" s="5" t="s">
        <v>3620</v>
      </c>
    </row>
    <row r="8289" spans="35:37">
      <c r="AI8289" s="468">
        <v>50661</v>
      </c>
      <c r="AJ8289" s="5" t="s">
        <v>3579</v>
      </c>
      <c r="AK8289" s="5" t="s">
        <v>3622</v>
      </c>
    </row>
    <row r="8290" spans="35:37">
      <c r="AI8290" s="468">
        <v>50662</v>
      </c>
      <c r="AJ8290" s="5" t="s">
        <v>3624</v>
      </c>
      <c r="AK8290" s="5" t="s">
        <v>3623</v>
      </c>
    </row>
    <row r="8291" spans="35:37">
      <c r="AI8291" s="468">
        <v>50663</v>
      </c>
      <c r="AJ8291" s="5" t="s">
        <v>3626</v>
      </c>
      <c r="AK8291" s="5" t="s">
        <v>3625</v>
      </c>
    </row>
    <row r="8292" spans="35:37">
      <c r="AI8292" s="468">
        <v>50664</v>
      </c>
      <c r="AJ8292" s="5" t="s">
        <v>3628</v>
      </c>
      <c r="AK8292" s="5" t="s">
        <v>3627</v>
      </c>
    </row>
    <row r="8293" spans="35:37">
      <c r="AI8293" s="468">
        <v>50665</v>
      </c>
      <c r="AJ8293" s="5" t="s">
        <v>3617</v>
      </c>
      <c r="AK8293" s="5" t="s">
        <v>3618</v>
      </c>
    </row>
    <row r="8294" spans="35:37">
      <c r="AI8294" s="468">
        <v>50666</v>
      </c>
      <c r="AJ8294" s="5" t="s">
        <v>3619</v>
      </c>
      <c r="AK8294" s="5" t="s">
        <v>3620</v>
      </c>
    </row>
    <row r="8295" spans="35:37">
      <c r="AI8295" s="468">
        <v>50667</v>
      </c>
      <c r="AJ8295" s="5" t="s">
        <v>3621</v>
      </c>
      <c r="AK8295" s="5" t="s">
        <v>3622</v>
      </c>
    </row>
    <row r="8296" spans="35:37">
      <c r="AI8296" s="468">
        <v>50668</v>
      </c>
      <c r="AJ8296" s="5" t="s">
        <v>3579</v>
      </c>
      <c r="AK8296" s="5" t="s">
        <v>3623</v>
      </c>
    </row>
    <row r="8297" spans="35:37">
      <c r="AI8297" s="468">
        <v>50669</v>
      </c>
      <c r="AJ8297" s="5" t="s">
        <v>3624</v>
      </c>
      <c r="AK8297" s="5" t="s">
        <v>3625</v>
      </c>
    </row>
    <row r="8298" spans="35:37">
      <c r="AI8298" s="468">
        <v>50670</v>
      </c>
      <c r="AJ8298" s="5" t="s">
        <v>3626</v>
      </c>
      <c r="AK8298" s="5" t="s">
        <v>3627</v>
      </c>
    </row>
    <row r="8299" spans="35:37">
      <c r="AI8299" s="468">
        <v>50671</v>
      </c>
      <c r="AJ8299" s="5" t="s">
        <v>3628</v>
      </c>
      <c r="AK8299" s="5" t="s">
        <v>3618</v>
      </c>
    </row>
    <row r="8300" spans="35:37">
      <c r="AI8300" s="468">
        <v>50672</v>
      </c>
      <c r="AJ8300" s="5" t="s">
        <v>3617</v>
      </c>
      <c r="AK8300" s="5" t="s">
        <v>3620</v>
      </c>
    </row>
    <row r="8301" spans="35:37">
      <c r="AI8301" s="468">
        <v>50673</v>
      </c>
      <c r="AJ8301" s="5" t="s">
        <v>3619</v>
      </c>
      <c r="AK8301" s="5" t="s">
        <v>3622</v>
      </c>
    </row>
    <row r="8302" spans="35:37">
      <c r="AI8302" s="468">
        <v>50674</v>
      </c>
      <c r="AJ8302" s="5" t="s">
        <v>3621</v>
      </c>
      <c r="AK8302" s="5" t="s">
        <v>3623</v>
      </c>
    </row>
    <row r="8303" spans="35:37">
      <c r="AI8303" s="468">
        <v>50675</v>
      </c>
      <c r="AJ8303" s="5" t="s">
        <v>3579</v>
      </c>
      <c r="AK8303" s="5" t="s">
        <v>3625</v>
      </c>
    </row>
    <row r="8304" spans="35:37">
      <c r="AI8304" s="468">
        <v>50676</v>
      </c>
      <c r="AJ8304" s="5" t="s">
        <v>3624</v>
      </c>
      <c r="AK8304" s="5" t="s">
        <v>3627</v>
      </c>
    </row>
    <row r="8305" spans="35:37">
      <c r="AI8305" s="468">
        <v>50677</v>
      </c>
      <c r="AJ8305" s="5" t="s">
        <v>3626</v>
      </c>
      <c r="AK8305" s="5" t="s">
        <v>3620</v>
      </c>
    </row>
    <row r="8306" spans="35:37">
      <c r="AI8306" s="468">
        <v>50678</v>
      </c>
      <c r="AJ8306" s="5" t="s">
        <v>3628</v>
      </c>
      <c r="AK8306" s="5" t="s">
        <v>3622</v>
      </c>
    </row>
    <row r="8307" spans="35:37">
      <c r="AI8307" s="468">
        <v>50679</v>
      </c>
      <c r="AJ8307" s="5" t="s">
        <v>3617</v>
      </c>
      <c r="AK8307" s="5" t="s">
        <v>3623</v>
      </c>
    </row>
    <row r="8308" spans="35:37">
      <c r="AI8308" s="468">
        <v>50680</v>
      </c>
      <c r="AJ8308" s="5" t="s">
        <v>3619</v>
      </c>
      <c r="AK8308" s="5" t="s">
        <v>3625</v>
      </c>
    </row>
    <row r="8309" spans="35:37">
      <c r="AI8309" s="468">
        <v>50681</v>
      </c>
      <c r="AJ8309" s="5" t="s">
        <v>3621</v>
      </c>
      <c r="AK8309" s="5" t="s">
        <v>3627</v>
      </c>
    </row>
    <row r="8310" spans="35:37">
      <c r="AI8310" s="468">
        <v>50682</v>
      </c>
      <c r="AJ8310" s="5" t="s">
        <v>3579</v>
      </c>
      <c r="AK8310" s="5" t="s">
        <v>3618</v>
      </c>
    </row>
    <row r="8311" spans="35:37">
      <c r="AI8311" s="468">
        <v>50683</v>
      </c>
      <c r="AJ8311" s="5" t="s">
        <v>3624</v>
      </c>
      <c r="AK8311" s="5" t="s">
        <v>3620</v>
      </c>
    </row>
    <row r="8312" spans="35:37">
      <c r="AI8312" s="468">
        <v>50684</v>
      </c>
      <c r="AJ8312" s="5" t="s">
        <v>3626</v>
      </c>
      <c r="AK8312" s="5" t="s">
        <v>3622</v>
      </c>
    </row>
    <row r="8313" spans="35:37">
      <c r="AI8313" s="468">
        <v>50685</v>
      </c>
      <c r="AJ8313" s="5" t="s">
        <v>3628</v>
      </c>
      <c r="AK8313" s="5" t="s">
        <v>3623</v>
      </c>
    </row>
    <row r="8314" spans="35:37">
      <c r="AI8314" s="468">
        <v>50686</v>
      </c>
      <c r="AJ8314" s="5" t="s">
        <v>3617</v>
      </c>
      <c r="AK8314" s="5" t="s">
        <v>3625</v>
      </c>
    </row>
    <row r="8315" spans="35:37">
      <c r="AI8315" s="468">
        <v>50687</v>
      </c>
      <c r="AJ8315" s="5" t="s">
        <v>3619</v>
      </c>
      <c r="AK8315" s="5" t="s">
        <v>3627</v>
      </c>
    </row>
    <row r="8316" spans="35:37">
      <c r="AI8316" s="468">
        <v>50688</v>
      </c>
      <c r="AJ8316" s="5" t="s">
        <v>3621</v>
      </c>
      <c r="AK8316" s="5" t="s">
        <v>3618</v>
      </c>
    </row>
    <row r="8317" spans="35:37">
      <c r="AI8317" s="468">
        <v>50689</v>
      </c>
      <c r="AJ8317" s="5" t="s">
        <v>3579</v>
      </c>
      <c r="AK8317" s="5" t="s">
        <v>3620</v>
      </c>
    </row>
    <row r="8318" spans="35:37">
      <c r="AI8318" s="468">
        <v>50690</v>
      </c>
      <c r="AJ8318" s="5" t="s">
        <v>3624</v>
      </c>
      <c r="AK8318" s="5" t="s">
        <v>3622</v>
      </c>
    </row>
    <row r="8319" spans="35:37">
      <c r="AI8319" s="468">
        <v>50691</v>
      </c>
      <c r="AJ8319" s="5" t="s">
        <v>3626</v>
      </c>
      <c r="AK8319" s="5" t="s">
        <v>3623</v>
      </c>
    </row>
    <row r="8320" spans="35:37">
      <c r="AI8320" s="468">
        <v>50692</v>
      </c>
      <c r="AJ8320" s="5" t="s">
        <v>3628</v>
      </c>
      <c r="AK8320" s="5" t="s">
        <v>3625</v>
      </c>
    </row>
    <row r="8321" spans="35:37">
      <c r="AI8321" s="468">
        <v>50693</v>
      </c>
      <c r="AJ8321" s="5" t="s">
        <v>3617</v>
      </c>
      <c r="AK8321" s="5" t="s">
        <v>3627</v>
      </c>
    </row>
    <row r="8322" spans="35:37">
      <c r="AI8322" s="468">
        <v>50694</v>
      </c>
      <c r="AJ8322" s="5" t="s">
        <v>3619</v>
      </c>
      <c r="AK8322" s="5" t="s">
        <v>3618</v>
      </c>
    </row>
    <row r="8323" spans="35:37">
      <c r="AI8323" s="468">
        <v>50695</v>
      </c>
      <c r="AJ8323" s="5" t="s">
        <v>3621</v>
      </c>
      <c r="AK8323" s="5" t="s">
        <v>3620</v>
      </c>
    </row>
    <row r="8324" spans="35:37">
      <c r="AI8324" s="468">
        <v>50696</v>
      </c>
      <c r="AJ8324" s="5" t="s">
        <v>3579</v>
      </c>
      <c r="AK8324" s="5" t="s">
        <v>3622</v>
      </c>
    </row>
    <row r="8325" spans="35:37">
      <c r="AI8325" s="468">
        <v>50697</v>
      </c>
      <c r="AJ8325" s="5" t="s">
        <v>3624</v>
      </c>
      <c r="AK8325" s="5" t="s">
        <v>3623</v>
      </c>
    </row>
    <row r="8326" spans="35:37">
      <c r="AI8326" s="468">
        <v>50698</v>
      </c>
      <c r="AJ8326" s="5" t="s">
        <v>3626</v>
      </c>
      <c r="AK8326" s="5" t="s">
        <v>3625</v>
      </c>
    </row>
    <row r="8327" spans="35:37">
      <c r="AI8327" s="468">
        <v>50699</v>
      </c>
      <c r="AJ8327" s="5" t="s">
        <v>3628</v>
      </c>
      <c r="AK8327" s="5" t="s">
        <v>3627</v>
      </c>
    </row>
    <row r="8328" spans="35:37">
      <c r="AI8328" s="468">
        <v>50700</v>
      </c>
      <c r="AJ8328" s="5" t="s">
        <v>3617</v>
      </c>
      <c r="AK8328" s="5" t="s">
        <v>3618</v>
      </c>
    </row>
    <row r="8329" spans="35:37">
      <c r="AI8329" s="468">
        <v>50701</v>
      </c>
      <c r="AJ8329" s="5" t="s">
        <v>3619</v>
      </c>
      <c r="AK8329" s="5" t="s">
        <v>3620</v>
      </c>
    </row>
    <row r="8330" spans="35:37">
      <c r="AI8330" s="468">
        <v>50702</v>
      </c>
      <c r="AJ8330" s="5" t="s">
        <v>3621</v>
      </c>
      <c r="AK8330" s="5" t="s">
        <v>3622</v>
      </c>
    </row>
    <row r="8331" spans="35:37">
      <c r="AI8331" s="468">
        <v>50703</v>
      </c>
      <c r="AJ8331" s="5" t="s">
        <v>3579</v>
      </c>
      <c r="AK8331" s="5" t="s">
        <v>3623</v>
      </c>
    </row>
    <row r="8332" spans="35:37">
      <c r="AI8332" s="468">
        <v>50704</v>
      </c>
      <c r="AJ8332" s="5" t="s">
        <v>3624</v>
      </c>
      <c r="AK8332" s="5" t="s">
        <v>3625</v>
      </c>
    </row>
    <row r="8333" spans="35:37">
      <c r="AI8333" s="468">
        <v>50705</v>
      </c>
      <c r="AJ8333" s="5" t="s">
        <v>3626</v>
      </c>
      <c r="AK8333" s="5" t="s">
        <v>3627</v>
      </c>
    </row>
    <row r="8334" spans="35:37">
      <c r="AI8334" s="468">
        <v>50706</v>
      </c>
      <c r="AJ8334" s="5" t="s">
        <v>3628</v>
      </c>
      <c r="AK8334" s="5" t="s">
        <v>3622</v>
      </c>
    </row>
    <row r="8335" spans="35:37">
      <c r="AI8335" s="468">
        <v>50707</v>
      </c>
      <c r="AJ8335" s="5" t="s">
        <v>3617</v>
      </c>
      <c r="AK8335" s="5" t="s">
        <v>3623</v>
      </c>
    </row>
    <row r="8336" spans="35:37">
      <c r="AI8336" s="468">
        <v>50708</v>
      </c>
      <c r="AJ8336" s="5" t="s">
        <v>3619</v>
      </c>
      <c r="AK8336" s="5" t="s">
        <v>3625</v>
      </c>
    </row>
    <row r="8337" spans="35:37">
      <c r="AI8337" s="468">
        <v>50709</v>
      </c>
      <c r="AJ8337" s="5" t="s">
        <v>3621</v>
      </c>
      <c r="AK8337" s="5" t="s">
        <v>3627</v>
      </c>
    </row>
    <row r="8338" spans="35:37">
      <c r="AI8338" s="468">
        <v>50710</v>
      </c>
      <c r="AJ8338" s="5" t="s">
        <v>3579</v>
      </c>
      <c r="AK8338" s="5" t="s">
        <v>3618</v>
      </c>
    </row>
    <row r="8339" spans="35:37">
      <c r="AI8339" s="468">
        <v>50711</v>
      </c>
      <c r="AJ8339" s="5" t="s">
        <v>3624</v>
      </c>
      <c r="AK8339" s="5" t="s">
        <v>3620</v>
      </c>
    </row>
    <row r="8340" spans="35:37">
      <c r="AI8340" s="468">
        <v>50712</v>
      </c>
      <c r="AJ8340" s="5" t="s">
        <v>3626</v>
      </c>
      <c r="AK8340" s="5" t="s">
        <v>3622</v>
      </c>
    </row>
    <row r="8341" spans="35:37">
      <c r="AI8341" s="468">
        <v>50713</v>
      </c>
      <c r="AJ8341" s="5" t="s">
        <v>3628</v>
      </c>
      <c r="AK8341" s="5" t="s">
        <v>3623</v>
      </c>
    </row>
    <row r="8342" spans="35:37">
      <c r="AI8342" s="468">
        <v>50714</v>
      </c>
      <c r="AJ8342" s="5" t="s">
        <v>3617</v>
      </c>
      <c r="AK8342" s="5" t="s">
        <v>3625</v>
      </c>
    </row>
    <row r="8343" spans="35:37">
      <c r="AI8343" s="468">
        <v>50715</v>
      </c>
      <c r="AJ8343" s="5" t="s">
        <v>3619</v>
      </c>
      <c r="AK8343" s="5" t="s">
        <v>3627</v>
      </c>
    </row>
    <row r="8344" spans="35:37">
      <c r="AI8344" s="468">
        <v>50716</v>
      </c>
      <c r="AJ8344" s="5" t="s">
        <v>3621</v>
      </c>
      <c r="AK8344" s="5" t="s">
        <v>3618</v>
      </c>
    </row>
    <row r="8345" spans="35:37">
      <c r="AI8345" s="468">
        <v>50717</v>
      </c>
      <c r="AJ8345" s="5" t="s">
        <v>3579</v>
      </c>
      <c r="AK8345" s="5" t="s">
        <v>3620</v>
      </c>
    </row>
    <row r="8346" spans="35:37">
      <c r="AI8346" s="468">
        <v>50718</v>
      </c>
      <c r="AJ8346" s="5" t="s">
        <v>3624</v>
      </c>
      <c r="AK8346" s="5" t="s">
        <v>3622</v>
      </c>
    </row>
    <row r="8347" spans="35:37">
      <c r="AI8347" s="468">
        <v>50719</v>
      </c>
      <c r="AJ8347" s="5" t="s">
        <v>3626</v>
      </c>
      <c r="AK8347" s="5" t="s">
        <v>3623</v>
      </c>
    </row>
    <row r="8348" spans="35:37">
      <c r="AI8348" s="468">
        <v>50720</v>
      </c>
      <c r="AJ8348" s="5" t="s">
        <v>3628</v>
      </c>
      <c r="AK8348" s="5" t="s">
        <v>3625</v>
      </c>
    </row>
    <row r="8349" spans="35:37">
      <c r="AI8349" s="468">
        <v>50721</v>
      </c>
      <c r="AJ8349" s="5" t="s">
        <v>3617</v>
      </c>
      <c r="AK8349" s="5" t="s">
        <v>3627</v>
      </c>
    </row>
    <row r="8350" spans="35:37">
      <c r="AI8350" s="468">
        <v>50722</v>
      </c>
      <c r="AJ8350" s="5" t="s">
        <v>3619</v>
      </c>
      <c r="AK8350" s="5" t="s">
        <v>3618</v>
      </c>
    </row>
    <row r="8351" spans="35:37">
      <c r="AI8351" s="468">
        <v>50723</v>
      </c>
      <c r="AJ8351" s="5" t="s">
        <v>3621</v>
      </c>
      <c r="AK8351" s="5" t="s">
        <v>3620</v>
      </c>
    </row>
    <row r="8352" spans="35:37">
      <c r="AI8352" s="468">
        <v>50724</v>
      </c>
      <c r="AJ8352" s="5" t="s">
        <v>3579</v>
      </c>
      <c r="AK8352" s="5" t="s">
        <v>3622</v>
      </c>
    </row>
    <row r="8353" spans="35:37">
      <c r="AI8353" s="468">
        <v>50725</v>
      </c>
      <c r="AJ8353" s="5" t="s">
        <v>3624</v>
      </c>
      <c r="AK8353" s="5" t="s">
        <v>3623</v>
      </c>
    </row>
    <row r="8354" spans="35:37">
      <c r="AI8354" s="468">
        <v>50726</v>
      </c>
      <c r="AJ8354" s="5" t="s">
        <v>3626</v>
      </c>
      <c r="AK8354" s="5" t="s">
        <v>3625</v>
      </c>
    </row>
    <row r="8355" spans="35:37">
      <c r="AI8355" s="468">
        <v>50727</v>
      </c>
      <c r="AJ8355" s="5" t="s">
        <v>3628</v>
      </c>
      <c r="AK8355" s="5" t="s">
        <v>3627</v>
      </c>
    </row>
    <row r="8356" spans="35:37">
      <c r="AI8356" s="468">
        <v>50728</v>
      </c>
      <c r="AJ8356" s="5" t="s">
        <v>3617</v>
      </c>
      <c r="AK8356" s="5" t="s">
        <v>3618</v>
      </c>
    </row>
    <row r="8357" spans="35:37">
      <c r="AI8357" s="468">
        <v>50729</v>
      </c>
      <c r="AJ8357" s="5" t="s">
        <v>3619</v>
      </c>
      <c r="AK8357" s="5" t="s">
        <v>3620</v>
      </c>
    </row>
    <row r="8358" spans="35:37">
      <c r="AI8358" s="468">
        <v>50730</v>
      </c>
      <c r="AJ8358" s="5" t="s">
        <v>3621</v>
      </c>
      <c r="AK8358" s="5" t="s">
        <v>3622</v>
      </c>
    </row>
    <row r="8359" spans="35:37">
      <c r="AI8359" s="468">
        <v>50731</v>
      </c>
      <c r="AJ8359" s="5" t="s">
        <v>3579</v>
      </c>
      <c r="AK8359" s="5" t="s">
        <v>3623</v>
      </c>
    </row>
    <row r="8360" spans="35:37">
      <c r="AI8360" s="468">
        <v>50732</v>
      </c>
      <c r="AJ8360" s="5" t="s">
        <v>3624</v>
      </c>
      <c r="AK8360" s="5" t="s">
        <v>3625</v>
      </c>
    </row>
    <row r="8361" spans="35:37">
      <c r="AI8361" s="468">
        <v>50733</v>
      </c>
      <c r="AJ8361" s="5" t="s">
        <v>3626</v>
      </c>
      <c r="AK8361" s="5" t="s">
        <v>3627</v>
      </c>
    </row>
    <row r="8362" spans="35:37">
      <c r="AI8362" s="468">
        <v>50734</v>
      </c>
      <c r="AJ8362" s="5" t="s">
        <v>3628</v>
      </c>
      <c r="AK8362" s="5" t="s">
        <v>3618</v>
      </c>
    </row>
    <row r="8363" spans="35:37">
      <c r="AI8363" s="468">
        <v>50735</v>
      </c>
      <c r="AJ8363" s="5" t="s">
        <v>3617</v>
      </c>
      <c r="AK8363" s="5" t="s">
        <v>3623</v>
      </c>
    </row>
    <row r="8364" spans="35:37">
      <c r="AI8364" s="468">
        <v>50736</v>
      </c>
      <c r="AJ8364" s="5" t="s">
        <v>3619</v>
      </c>
      <c r="AK8364" s="5" t="s">
        <v>3625</v>
      </c>
    </row>
    <row r="8365" spans="35:37">
      <c r="AI8365" s="468">
        <v>50737</v>
      </c>
      <c r="AJ8365" s="5" t="s">
        <v>3621</v>
      </c>
      <c r="AK8365" s="5" t="s">
        <v>3627</v>
      </c>
    </row>
    <row r="8366" spans="35:37">
      <c r="AI8366" s="468">
        <v>50738</v>
      </c>
      <c r="AJ8366" s="5" t="s">
        <v>3579</v>
      </c>
      <c r="AK8366" s="5" t="s">
        <v>3618</v>
      </c>
    </row>
    <row r="8367" spans="35:37">
      <c r="AI8367" s="468">
        <v>50739</v>
      </c>
      <c r="AJ8367" s="5" t="s">
        <v>3624</v>
      </c>
      <c r="AK8367" s="5" t="s">
        <v>3620</v>
      </c>
    </row>
    <row r="8368" spans="35:37">
      <c r="AI8368" s="468">
        <v>50740</v>
      </c>
      <c r="AJ8368" s="5" t="s">
        <v>3626</v>
      </c>
      <c r="AK8368" s="5" t="s">
        <v>3622</v>
      </c>
    </row>
    <row r="8369" spans="35:37">
      <c r="AI8369" s="468">
        <v>50741</v>
      </c>
      <c r="AJ8369" s="5" t="s">
        <v>3628</v>
      </c>
      <c r="AK8369" s="5" t="s">
        <v>3623</v>
      </c>
    </row>
    <row r="8370" spans="35:37">
      <c r="AI8370" s="468">
        <v>50742</v>
      </c>
      <c r="AJ8370" s="5" t="s">
        <v>3617</v>
      </c>
      <c r="AK8370" s="5" t="s">
        <v>3625</v>
      </c>
    </row>
    <row r="8371" spans="35:37">
      <c r="AI8371" s="468">
        <v>50743</v>
      </c>
      <c r="AJ8371" s="5" t="s">
        <v>3619</v>
      </c>
      <c r="AK8371" s="5" t="s">
        <v>3627</v>
      </c>
    </row>
    <row r="8372" spans="35:37">
      <c r="AI8372" s="468">
        <v>50744</v>
      </c>
      <c r="AJ8372" s="5" t="s">
        <v>3621</v>
      </c>
      <c r="AK8372" s="5" t="s">
        <v>3618</v>
      </c>
    </row>
    <row r="8373" spans="35:37">
      <c r="AI8373" s="468">
        <v>50745</v>
      </c>
      <c r="AJ8373" s="5" t="s">
        <v>3579</v>
      </c>
      <c r="AK8373" s="5" t="s">
        <v>3620</v>
      </c>
    </row>
    <row r="8374" spans="35:37">
      <c r="AI8374" s="468">
        <v>50746</v>
      </c>
      <c r="AJ8374" s="5" t="s">
        <v>3624</v>
      </c>
      <c r="AK8374" s="5" t="s">
        <v>3622</v>
      </c>
    </row>
    <row r="8375" spans="35:37">
      <c r="AI8375" s="468">
        <v>50747</v>
      </c>
      <c r="AJ8375" s="5" t="s">
        <v>3626</v>
      </c>
      <c r="AK8375" s="5" t="s">
        <v>3623</v>
      </c>
    </row>
    <row r="8376" spans="35:37">
      <c r="AI8376" s="468">
        <v>50748</v>
      </c>
      <c r="AJ8376" s="5" t="s">
        <v>3628</v>
      </c>
      <c r="AK8376" s="5" t="s">
        <v>3625</v>
      </c>
    </row>
    <row r="8377" spans="35:37">
      <c r="AI8377" s="468">
        <v>50749</v>
      </c>
      <c r="AJ8377" s="5" t="s">
        <v>3617</v>
      </c>
      <c r="AK8377" s="5" t="s">
        <v>3627</v>
      </c>
    </row>
    <row r="8378" spans="35:37">
      <c r="AI8378" s="468">
        <v>50750</v>
      </c>
      <c r="AJ8378" s="5" t="s">
        <v>3619</v>
      </c>
      <c r="AK8378" s="5" t="s">
        <v>3618</v>
      </c>
    </row>
    <row r="8379" spans="35:37">
      <c r="AI8379" s="468">
        <v>50751</v>
      </c>
      <c r="AJ8379" s="5" t="s">
        <v>3621</v>
      </c>
      <c r="AK8379" s="5" t="s">
        <v>3620</v>
      </c>
    </row>
    <row r="8380" spans="35:37">
      <c r="AI8380" s="468">
        <v>50752</v>
      </c>
      <c r="AJ8380" s="5" t="s">
        <v>3579</v>
      </c>
      <c r="AK8380" s="5" t="s">
        <v>3622</v>
      </c>
    </row>
    <row r="8381" spans="35:37">
      <c r="AI8381" s="468">
        <v>50753</v>
      </c>
      <c r="AJ8381" s="5" t="s">
        <v>3624</v>
      </c>
      <c r="AK8381" s="5" t="s">
        <v>3623</v>
      </c>
    </row>
    <row r="8382" spans="35:37">
      <c r="AI8382" s="468">
        <v>50754</v>
      </c>
      <c r="AJ8382" s="5" t="s">
        <v>3626</v>
      </c>
      <c r="AK8382" s="5" t="s">
        <v>3625</v>
      </c>
    </row>
    <row r="8383" spans="35:37">
      <c r="AI8383" s="468">
        <v>50755</v>
      </c>
      <c r="AJ8383" s="5" t="s">
        <v>3628</v>
      </c>
      <c r="AK8383" s="5" t="s">
        <v>3627</v>
      </c>
    </row>
    <row r="8384" spans="35:37">
      <c r="AI8384" s="468">
        <v>50756</v>
      </c>
      <c r="AJ8384" s="5" t="s">
        <v>3617</v>
      </c>
      <c r="AK8384" s="5" t="s">
        <v>3618</v>
      </c>
    </row>
    <row r="8385" spans="35:37">
      <c r="AI8385" s="468">
        <v>50757</v>
      </c>
      <c r="AJ8385" s="5" t="s">
        <v>3619</v>
      </c>
      <c r="AK8385" s="5" t="s">
        <v>3620</v>
      </c>
    </row>
    <row r="8386" spans="35:37">
      <c r="AI8386" s="468">
        <v>50758</v>
      </c>
      <c r="AJ8386" s="5" t="s">
        <v>3621</v>
      </c>
      <c r="AK8386" s="5" t="s">
        <v>3622</v>
      </c>
    </row>
    <row r="8387" spans="35:37">
      <c r="AI8387" s="468">
        <v>50759</v>
      </c>
      <c r="AJ8387" s="5" t="s">
        <v>3579</v>
      </c>
      <c r="AK8387" s="5" t="s">
        <v>3623</v>
      </c>
    </row>
    <row r="8388" spans="35:37">
      <c r="AI8388" s="468">
        <v>50760</v>
      </c>
      <c r="AJ8388" s="5" t="s">
        <v>3624</v>
      </c>
      <c r="AK8388" s="5" t="s">
        <v>3625</v>
      </c>
    </row>
    <row r="8389" spans="35:37">
      <c r="AI8389" s="468">
        <v>50761</v>
      </c>
      <c r="AJ8389" s="5" t="s">
        <v>3626</v>
      </c>
      <c r="AK8389" s="5" t="s">
        <v>3627</v>
      </c>
    </row>
    <row r="8390" spans="35:37">
      <c r="AI8390" s="468">
        <v>50762</v>
      </c>
      <c r="AJ8390" s="5" t="s">
        <v>3628</v>
      </c>
      <c r="AK8390" s="5" t="s">
        <v>3618</v>
      </c>
    </row>
    <row r="8391" spans="35:37">
      <c r="AI8391" s="468">
        <v>50763</v>
      </c>
      <c r="AJ8391" s="5" t="s">
        <v>3617</v>
      </c>
      <c r="AK8391" s="5" t="s">
        <v>3620</v>
      </c>
    </row>
    <row r="8392" spans="35:37">
      <c r="AI8392" s="468">
        <v>50764</v>
      </c>
      <c r="AJ8392" s="5" t="s">
        <v>3619</v>
      </c>
      <c r="AK8392" s="5" t="s">
        <v>3622</v>
      </c>
    </row>
    <row r="8393" spans="35:37">
      <c r="AI8393" s="468">
        <v>50765</v>
      </c>
      <c r="AJ8393" s="5" t="s">
        <v>3621</v>
      </c>
      <c r="AK8393" s="5" t="s">
        <v>3625</v>
      </c>
    </row>
    <row r="8394" spans="35:37">
      <c r="AI8394" s="468">
        <v>50766</v>
      </c>
      <c r="AJ8394" s="5" t="s">
        <v>3579</v>
      </c>
      <c r="AK8394" s="5" t="s">
        <v>3627</v>
      </c>
    </row>
    <row r="8395" spans="35:37">
      <c r="AI8395" s="468">
        <v>50767</v>
      </c>
      <c r="AJ8395" s="5" t="s">
        <v>3624</v>
      </c>
      <c r="AK8395" s="5" t="s">
        <v>3618</v>
      </c>
    </row>
    <row r="8396" spans="35:37">
      <c r="AI8396" s="468">
        <v>50768</v>
      </c>
      <c r="AJ8396" s="5" t="s">
        <v>3626</v>
      </c>
      <c r="AK8396" s="5" t="s">
        <v>3620</v>
      </c>
    </row>
    <row r="8397" spans="35:37">
      <c r="AI8397" s="468">
        <v>50769</v>
      </c>
      <c r="AJ8397" s="5" t="s">
        <v>3628</v>
      </c>
      <c r="AK8397" s="5" t="s">
        <v>3622</v>
      </c>
    </row>
    <row r="8398" spans="35:37">
      <c r="AI8398" s="468">
        <v>50770</v>
      </c>
      <c r="AJ8398" s="5" t="s">
        <v>3617</v>
      </c>
      <c r="AK8398" s="5" t="s">
        <v>3623</v>
      </c>
    </row>
    <row r="8399" spans="35:37">
      <c r="AI8399" s="468">
        <v>50771</v>
      </c>
      <c r="AJ8399" s="5" t="s">
        <v>3619</v>
      </c>
      <c r="AK8399" s="5" t="s">
        <v>3625</v>
      </c>
    </row>
    <row r="8400" spans="35:37">
      <c r="AI8400" s="468">
        <v>50772</v>
      </c>
      <c r="AJ8400" s="5" t="s">
        <v>3621</v>
      </c>
      <c r="AK8400" s="5" t="s">
        <v>3627</v>
      </c>
    </row>
    <row r="8401" spans="35:37">
      <c r="AI8401" s="468">
        <v>50773</v>
      </c>
      <c r="AJ8401" s="5" t="s">
        <v>3579</v>
      </c>
      <c r="AK8401" s="5" t="s">
        <v>3618</v>
      </c>
    </row>
    <row r="8402" spans="35:37">
      <c r="AI8402" s="468">
        <v>50774</v>
      </c>
      <c r="AJ8402" s="5" t="s">
        <v>3624</v>
      </c>
      <c r="AK8402" s="5" t="s">
        <v>3620</v>
      </c>
    </row>
    <row r="8403" spans="35:37">
      <c r="AI8403" s="468">
        <v>50775</v>
      </c>
      <c r="AJ8403" s="5" t="s">
        <v>3626</v>
      </c>
      <c r="AK8403" s="5" t="s">
        <v>3622</v>
      </c>
    </row>
    <row r="8404" spans="35:37">
      <c r="AI8404" s="468">
        <v>50776</v>
      </c>
      <c r="AJ8404" s="5" t="s">
        <v>3628</v>
      </c>
      <c r="AK8404" s="5" t="s">
        <v>3623</v>
      </c>
    </row>
    <row r="8405" spans="35:37">
      <c r="AI8405" s="468">
        <v>50777</v>
      </c>
      <c r="AJ8405" s="5" t="s">
        <v>3617</v>
      </c>
      <c r="AK8405" s="5" t="s">
        <v>3625</v>
      </c>
    </row>
    <row r="8406" spans="35:37">
      <c r="AI8406" s="468">
        <v>50778</v>
      </c>
      <c r="AJ8406" s="5" t="s">
        <v>3619</v>
      </c>
      <c r="AK8406" s="5" t="s">
        <v>3627</v>
      </c>
    </row>
    <row r="8407" spans="35:37">
      <c r="AI8407" s="468">
        <v>50779</v>
      </c>
      <c r="AJ8407" s="5" t="s">
        <v>3621</v>
      </c>
      <c r="AK8407" s="5" t="s">
        <v>3618</v>
      </c>
    </row>
    <row r="8408" spans="35:37">
      <c r="AI8408" s="468">
        <v>50780</v>
      </c>
      <c r="AJ8408" s="5" t="s">
        <v>3579</v>
      </c>
      <c r="AK8408" s="5" t="s">
        <v>3620</v>
      </c>
    </row>
    <row r="8409" spans="35:37">
      <c r="AI8409" s="468">
        <v>50781</v>
      </c>
      <c r="AJ8409" s="5" t="s">
        <v>3624</v>
      </c>
      <c r="AK8409" s="5" t="s">
        <v>3622</v>
      </c>
    </row>
    <row r="8410" spans="35:37">
      <c r="AI8410" s="468">
        <v>50782</v>
      </c>
      <c r="AJ8410" s="5" t="s">
        <v>3626</v>
      </c>
      <c r="AK8410" s="5" t="s">
        <v>3623</v>
      </c>
    </row>
    <row r="8411" spans="35:37">
      <c r="AI8411" s="468">
        <v>50783</v>
      </c>
      <c r="AJ8411" s="5" t="s">
        <v>3628</v>
      </c>
      <c r="AK8411" s="5" t="s">
        <v>3625</v>
      </c>
    </row>
    <row r="8412" spans="35:37">
      <c r="AI8412" s="468">
        <v>50784</v>
      </c>
      <c r="AJ8412" s="5" t="s">
        <v>3617</v>
      </c>
      <c r="AK8412" s="5" t="s">
        <v>3627</v>
      </c>
    </row>
    <row r="8413" spans="35:37">
      <c r="AI8413" s="468">
        <v>50785</v>
      </c>
      <c r="AJ8413" s="5" t="s">
        <v>3619</v>
      </c>
      <c r="AK8413" s="5" t="s">
        <v>3618</v>
      </c>
    </row>
    <row r="8414" spans="35:37">
      <c r="AI8414" s="468">
        <v>50786</v>
      </c>
      <c r="AJ8414" s="5" t="s">
        <v>3621</v>
      </c>
      <c r="AK8414" s="5" t="s">
        <v>3620</v>
      </c>
    </row>
    <row r="8415" spans="35:37">
      <c r="AI8415" s="468">
        <v>50787</v>
      </c>
      <c r="AJ8415" s="5" t="s">
        <v>3579</v>
      </c>
      <c r="AK8415" s="5" t="s">
        <v>3622</v>
      </c>
    </row>
    <row r="8416" spans="35:37">
      <c r="AI8416" s="468">
        <v>50788</v>
      </c>
      <c r="AJ8416" s="5" t="s">
        <v>3624</v>
      </c>
      <c r="AK8416" s="5" t="s">
        <v>3623</v>
      </c>
    </row>
    <row r="8417" spans="35:37">
      <c r="AI8417" s="468">
        <v>50789</v>
      </c>
      <c r="AJ8417" s="5" t="s">
        <v>3626</v>
      </c>
      <c r="AK8417" s="5" t="s">
        <v>3625</v>
      </c>
    </row>
    <row r="8418" spans="35:37">
      <c r="AI8418" s="468">
        <v>50790</v>
      </c>
      <c r="AJ8418" s="5" t="s">
        <v>3628</v>
      </c>
      <c r="AK8418" s="5" t="s">
        <v>3627</v>
      </c>
    </row>
    <row r="8419" spans="35:37">
      <c r="AI8419" s="468">
        <v>50791</v>
      </c>
      <c r="AJ8419" s="5" t="s">
        <v>3617</v>
      </c>
      <c r="AK8419" s="5" t="s">
        <v>3618</v>
      </c>
    </row>
    <row r="8420" spans="35:37">
      <c r="AI8420" s="468">
        <v>50792</v>
      </c>
      <c r="AJ8420" s="5" t="s">
        <v>3619</v>
      </c>
      <c r="AK8420" s="5" t="s">
        <v>3620</v>
      </c>
    </row>
    <row r="8421" spans="35:37">
      <c r="AI8421" s="468">
        <v>50793</v>
      </c>
      <c r="AJ8421" s="5" t="s">
        <v>3621</v>
      </c>
      <c r="AK8421" s="5" t="s">
        <v>3622</v>
      </c>
    </row>
    <row r="8422" spans="35:37">
      <c r="AI8422" s="468">
        <v>50794</v>
      </c>
      <c r="AJ8422" s="5" t="s">
        <v>3579</v>
      </c>
      <c r="AK8422" s="5" t="s">
        <v>3627</v>
      </c>
    </row>
    <row r="8423" spans="35:37">
      <c r="AI8423" s="468">
        <v>50795</v>
      </c>
      <c r="AJ8423" s="5" t="s">
        <v>3624</v>
      </c>
      <c r="AK8423" s="5" t="s">
        <v>3618</v>
      </c>
    </row>
    <row r="8424" spans="35:37">
      <c r="AI8424" s="468">
        <v>50796</v>
      </c>
      <c r="AJ8424" s="5" t="s">
        <v>3626</v>
      </c>
      <c r="AK8424" s="5" t="s">
        <v>3620</v>
      </c>
    </row>
    <row r="8425" spans="35:37">
      <c r="AI8425" s="468">
        <v>50797</v>
      </c>
      <c r="AJ8425" s="5" t="s">
        <v>3628</v>
      </c>
      <c r="AK8425" s="5" t="s">
        <v>3622</v>
      </c>
    </row>
    <row r="8426" spans="35:37">
      <c r="AI8426" s="468">
        <v>50798</v>
      </c>
      <c r="AJ8426" s="5" t="s">
        <v>3617</v>
      </c>
      <c r="AK8426" s="5" t="s">
        <v>3623</v>
      </c>
    </row>
    <row r="8427" spans="35:37">
      <c r="AI8427" s="468">
        <v>50799</v>
      </c>
      <c r="AJ8427" s="5" t="s">
        <v>3619</v>
      </c>
      <c r="AK8427" s="5" t="s">
        <v>3625</v>
      </c>
    </row>
    <row r="8428" spans="35:37">
      <c r="AI8428" s="468">
        <v>50800</v>
      </c>
      <c r="AJ8428" s="5" t="s">
        <v>3621</v>
      </c>
      <c r="AK8428" s="5" t="s">
        <v>3627</v>
      </c>
    </row>
    <row r="8429" spans="35:37">
      <c r="AI8429" s="468">
        <v>50801</v>
      </c>
      <c r="AJ8429" s="5" t="s">
        <v>3579</v>
      </c>
      <c r="AK8429" s="5" t="s">
        <v>3618</v>
      </c>
    </row>
    <row r="8430" spans="35:37">
      <c r="AI8430" s="468">
        <v>50802</v>
      </c>
      <c r="AJ8430" s="5" t="s">
        <v>3624</v>
      </c>
      <c r="AK8430" s="5" t="s">
        <v>3620</v>
      </c>
    </row>
    <row r="8431" spans="35:37">
      <c r="AI8431" s="468">
        <v>50803</v>
      </c>
      <c r="AJ8431" s="5" t="s">
        <v>3626</v>
      </c>
      <c r="AK8431" s="5" t="s">
        <v>3622</v>
      </c>
    </row>
    <row r="8432" spans="35:37">
      <c r="AI8432" s="468">
        <v>50804</v>
      </c>
      <c r="AJ8432" s="5" t="s">
        <v>3628</v>
      </c>
      <c r="AK8432" s="5" t="s">
        <v>3623</v>
      </c>
    </row>
    <row r="8433" spans="35:37">
      <c r="AI8433" s="468">
        <v>50805</v>
      </c>
      <c r="AJ8433" s="5" t="s">
        <v>3617</v>
      </c>
      <c r="AK8433" s="5" t="s">
        <v>3625</v>
      </c>
    </row>
    <row r="8434" spans="35:37">
      <c r="AI8434" s="468">
        <v>50806</v>
      </c>
      <c r="AJ8434" s="5" t="s">
        <v>3619</v>
      </c>
      <c r="AK8434" s="5" t="s">
        <v>3627</v>
      </c>
    </row>
    <row r="8435" spans="35:37">
      <c r="AI8435" s="468">
        <v>50807</v>
      </c>
      <c r="AJ8435" s="5" t="s">
        <v>3621</v>
      </c>
      <c r="AK8435" s="5" t="s">
        <v>3618</v>
      </c>
    </row>
    <row r="8436" spans="35:37">
      <c r="AI8436" s="468">
        <v>50808</v>
      </c>
      <c r="AJ8436" s="5" t="s">
        <v>3579</v>
      </c>
      <c r="AK8436" s="5" t="s">
        <v>3620</v>
      </c>
    </row>
    <row r="8437" spans="35:37">
      <c r="AI8437" s="468">
        <v>50809</v>
      </c>
      <c r="AJ8437" s="5" t="s">
        <v>3624</v>
      </c>
      <c r="AK8437" s="5" t="s">
        <v>3622</v>
      </c>
    </row>
    <row r="8438" spans="35:37">
      <c r="AI8438" s="468">
        <v>50810</v>
      </c>
      <c r="AJ8438" s="5" t="s">
        <v>3626</v>
      </c>
      <c r="AK8438" s="5" t="s">
        <v>3623</v>
      </c>
    </row>
    <row r="8439" spans="35:37">
      <c r="AI8439" s="468">
        <v>50811</v>
      </c>
      <c r="AJ8439" s="5" t="s">
        <v>3628</v>
      </c>
      <c r="AK8439" s="5" t="s">
        <v>3625</v>
      </c>
    </row>
    <row r="8440" spans="35:37">
      <c r="AI8440" s="468">
        <v>50812</v>
      </c>
      <c r="AJ8440" s="5" t="s">
        <v>3617</v>
      </c>
      <c r="AK8440" s="5" t="s">
        <v>3627</v>
      </c>
    </row>
    <row r="8441" spans="35:37">
      <c r="AI8441" s="468">
        <v>50813</v>
      </c>
      <c r="AJ8441" s="5" t="s">
        <v>3619</v>
      </c>
      <c r="AK8441" s="5" t="s">
        <v>3618</v>
      </c>
    </row>
    <row r="8442" spans="35:37">
      <c r="AI8442" s="468">
        <v>50814</v>
      </c>
      <c r="AJ8442" s="5" t="s">
        <v>3621</v>
      </c>
      <c r="AK8442" s="5" t="s">
        <v>3620</v>
      </c>
    </row>
    <row r="8443" spans="35:37">
      <c r="AI8443" s="468">
        <v>50815</v>
      </c>
      <c r="AJ8443" s="5" t="s">
        <v>3579</v>
      </c>
      <c r="AK8443" s="5" t="s">
        <v>3622</v>
      </c>
    </row>
    <row r="8444" spans="35:37">
      <c r="AI8444" s="468">
        <v>50816</v>
      </c>
      <c r="AJ8444" s="5" t="s">
        <v>3624</v>
      </c>
      <c r="AK8444" s="5" t="s">
        <v>3623</v>
      </c>
    </row>
    <row r="8445" spans="35:37">
      <c r="AI8445" s="468">
        <v>50817</v>
      </c>
      <c r="AJ8445" s="5" t="s">
        <v>3626</v>
      </c>
      <c r="AK8445" s="5" t="s">
        <v>3625</v>
      </c>
    </row>
    <row r="8446" spans="35:37">
      <c r="AI8446" s="468">
        <v>50818</v>
      </c>
      <c r="AJ8446" s="5" t="s">
        <v>3628</v>
      </c>
      <c r="AK8446" s="5" t="s">
        <v>3627</v>
      </c>
    </row>
    <row r="8447" spans="35:37">
      <c r="AI8447" s="468">
        <v>50819</v>
      </c>
      <c r="AJ8447" s="5" t="s">
        <v>3617</v>
      </c>
      <c r="AK8447" s="5" t="s">
        <v>3618</v>
      </c>
    </row>
    <row r="8448" spans="35:37">
      <c r="AI8448" s="468">
        <v>50820</v>
      </c>
      <c r="AJ8448" s="5" t="s">
        <v>3619</v>
      </c>
      <c r="AK8448" s="5" t="s">
        <v>3620</v>
      </c>
    </row>
    <row r="8449" spans="35:37">
      <c r="AI8449" s="468">
        <v>50821</v>
      </c>
      <c r="AJ8449" s="5" t="s">
        <v>3621</v>
      </c>
      <c r="AK8449" s="5" t="s">
        <v>3622</v>
      </c>
    </row>
    <row r="8450" spans="35:37">
      <c r="AI8450" s="468">
        <v>50822</v>
      </c>
      <c r="AJ8450" s="5" t="s">
        <v>3579</v>
      </c>
      <c r="AK8450" s="5" t="s">
        <v>3623</v>
      </c>
    </row>
    <row r="8451" spans="35:37">
      <c r="AI8451" s="468">
        <v>50823</v>
      </c>
      <c r="AJ8451" s="5" t="s">
        <v>3624</v>
      </c>
      <c r="AK8451" s="5" t="s">
        <v>3625</v>
      </c>
    </row>
    <row r="8452" spans="35:37">
      <c r="AI8452" s="468">
        <v>50824</v>
      </c>
      <c r="AJ8452" s="5" t="s">
        <v>3626</v>
      </c>
      <c r="AK8452" s="5" t="s">
        <v>3618</v>
      </c>
    </row>
    <row r="8453" spans="35:37">
      <c r="AI8453" s="468">
        <v>50825</v>
      </c>
      <c r="AJ8453" s="5" t="s">
        <v>3628</v>
      </c>
      <c r="AK8453" s="5" t="s">
        <v>3620</v>
      </c>
    </row>
    <row r="8454" spans="35:37">
      <c r="AI8454" s="468">
        <v>50826</v>
      </c>
      <c r="AJ8454" s="5" t="s">
        <v>3617</v>
      </c>
      <c r="AK8454" s="5" t="s">
        <v>3622</v>
      </c>
    </row>
    <row r="8455" spans="35:37">
      <c r="AI8455" s="468">
        <v>50827</v>
      </c>
      <c r="AJ8455" s="5" t="s">
        <v>3619</v>
      </c>
      <c r="AK8455" s="5" t="s">
        <v>3623</v>
      </c>
    </row>
    <row r="8456" spans="35:37">
      <c r="AI8456" s="468">
        <v>50828</v>
      </c>
      <c r="AJ8456" s="5" t="s">
        <v>3621</v>
      </c>
      <c r="AK8456" s="5" t="s">
        <v>3625</v>
      </c>
    </row>
    <row r="8457" spans="35:37">
      <c r="AI8457" s="468">
        <v>50829</v>
      </c>
      <c r="AJ8457" s="5" t="s">
        <v>3579</v>
      </c>
      <c r="AK8457" s="5" t="s">
        <v>3627</v>
      </c>
    </row>
    <row r="8458" spans="35:37">
      <c r="AI8458" s="468">
        <v>50830</v>
      </c>
      <c r="AJ8458" s="5" t="s">
        <v>3624</v>
      </c>
      <c r="AK8458" s="5" t="s">
        <v>3618</v>
      </c>
    </row>
    <row r="8459" spans="35:37">
      <c r="AI8459" s="468">
        <v>50831</v>
      </c>
      <c r="AJ8459" s="5" t="s">
        <v>3626</v>
      </c>
      <c r="AK8459" s="5" t="s">
        <v>3620</v>
      </c>
    </row>
    <row r="8460" spans="35:37">
      <c r="AI8460" s="468">
        <v>50832</v>
      </c>
      <c r="AJ8460" s="5" t="s">
        <v>3628</v>
      </c>
      <c r="AK8460" s="5" t="s">
        <v>3622</v>
      </c>
    </row>
    <row r="8461" spans="35:37">
      <c r="AI8461" s="468">
        <v>50833</v>
      </c>
      <c r="AJ8461" s="5" t="s">
        <v>3617</v>
      </c>
      <c r="AK8461" s="5" t="s">
        <v>3623</v>
      </c>
    </row>
    <row r="8462" spans="35:37">
      <c r="AI8462" s="468">
        <v>50834</v>
      </c>
      <c r="AJ8462" s="5" t="s">
        <v>3619</v>
      </c>
      <c r="AK8462" s="5" t="s">
        <v>3625</v>
      </c>
    </row>
    <row r="8463" spans="35:37">
      <c r="AI8463" s="468">
        <v>50835</v>
      </c>
      <c r="AJ8463" s="5" t="s">
        <v>3621</v>
      </c>
      <c r="AK8463" s="5" t="s">
        <v>3627</v>
      </c>
    </row>
    <row r="8464" spans="35:37">
      <c r="AI8464" s="468">
        <v>50836</v>
      </c>
      <c r="AJ8464" s="5" t="s">
        <v>3579</v>
      </c>
      <c r="AK8464" s="5" t="s">
        <v>3618</v>
      </c>
    </row>
    <row r="8465" spans="35:37">
      <c r="AI8465" s="468">
        <v>50837</v>
      </c>
      <c r="AJ8465" s="5" t="s">
        <v>3624</v>
      </c>
      <c r="AK8465" s="5" t="s">
        <v>3620</v>
      </c>
    </row>
    <row r="8466" spans="35:37">
      <c r="AI8466" s="468">
        <v>50838</v>
      </c>
      <c r="AJ8466" s="5" t="s">
        <v>3626</v>
      </c>
      <c r="AK8466" s="5" t="s">
        <v>3622</v>
      </c>
    </row>
    <row r="8467" spans="35:37">
      <c r="AI8467" s="468">
        <v>50839</v>
      </c>
      <c r="AJ8467" s="5" t="s">
        <v>3628</v>
      </c>
      <c r="AK8467" s="5" t="s">
        <v>3623</v>
      </c>
    </row>
    <row r="8468" spans="35:37">
      <c r="AI8468" s="468">
        <v>50840</v>
      </c>
      <c r="AJ8468" s="5" t="s">
        <v>3617</v>
      </c>
      <c r="AK8468" s="5" t="s">
        <v>3625</v>
      </c>
    </row>
    <row r="8469" spans="35:37">
      <c r="AI8469" s="468">
        <v>50841</v>
      </c>
      <c r="AJ8469" s="5" t="s">
        <v>3619</v>
      </c>
      <c r="AK8469" s="5" t="s">
        <v>3627</v>
      </c>
    </row>
    <row r="8470" spans="35:37">
      <c r="AI8470" s="468">
        <v>50842</v>
      </c>
      <c r="AJ8470" s="5" t="s">
        <v>3621</v>
      </c>
      <c r="AK8470" s="5" t="s">
        <v>3618</v>
      </c>
    </row>
    <row r="8471" spans="35:37">
      <c r="AI8471" s="468">
        <v>50843</v>
      </c>
      <c r="AJ8471" s="5" t="s">
        <v>3579</v>
      </c>
      <c r="AK8471" s="5" t="s">
        <v>3620</v>
      </c>
    </row>
    <row r="8472" spans="35:37">
      <c r="AI8472" s="468">
        <v>50844</v>
      </c>
      <c r="AJ8472" s="5" t="s">
        <v>3624</v>
      </c>
      <c r="AK8472" s="5" t="s">
        <v>3622</v>
      </c>
    </row>
    <row r="8473" spans="35:37">
      <c r="AI8473" s="468">
        <v>50845</v>
      </c>
      <c r="AJ8473" s="5" t="s">
        <v>3626</v>
      </c>
      <c r="AK8473" s="5" t="s">
        <v>3623</v>
      </c>
    </row>
    <row r="8474" spans="35:37">
      <c r="AI8474" s="468">
        <v>50846</v>
      </c>
      <c r="AJ8474" s="5" t="s">
        <v>3628</v>
      </c>
      <c r="AK8474" s="5" t="s">
        <v>3625</v>
      </c>
    </row>
    <row r="8475" spans="35:37">
      <c r="AI8475" s="468">
        <v>50847</v>
      </c>
      <c r="AJ8475" s="5" t="s">
        <v>3617</v>
      </c>
      <c r="AK8475" s="5" t="s">
        <v>3627</v>
      </c>
    </row>
    <row r="8476" spans="35:37">
      <c r="AI8476" s="468">
        <v>50848</v>
      </c>
      <c r="AJ8476" s="5" t="s">
        <v>3619</v>
      </c>
      <c r="AK8476" s="5" t="s">
        <v>3618</v>
      </c>
    </row>
    <row r="8477" spans="35:37">
      <c r="AI8477" s="468">
        <v>50849</v>
      </c>
      <c r="AJ8477" s="5" t="s">
        <v>3621</v>
      </c>
      <c r="AK8477" s="5" t="s">
        <v>3620</v>
      </c>
    </row>
    <row r="8478" spans="35:37">
      <c r="AI8478" s="468">
        <v>50850</v>
      </c>
      <c r="AJ8478" s="5" t="s">
        <v>3579</v>
      </c>
      <c r="AK8478" s="5" t="s">
        <v>3622</v>
      </c>
    </row>
    <row r="8479" spans="35:37">
      <c r="AI8479" s="468">
        <v>50851</v>
      </c>
      <c r="AJ8479" s="5" t="s">
        <v>3624</v>
      </c>
      <c r="AK8479" s="5" t="s">
        <v>3623</v>
      </c>
    </row>
    <row r="8480" spans="35:37">
      <c r="AI8480" s="468">
        <v>50852</v>
      </c>
      <c r="AJ8480" s="5" t="s">
        <v>3626</v>
      </c>
      <c r="AK8480" s="5" t="s">
        <v>3625</v>
      </c>
    </row>
    <row r="8481" spans="35:37">
      <c r="AI8481" s="468">
        <v>50853</v>
      </c>
      <c r="AJ8481" s="5" t="s">
        <v>3628</v>
      </c>
      <c r="AK8481" s="5" t="s">
        <v>3627</v>
      </c>
    </row>
    <row r="8482" spans="35:37">
      <c r="AI8482" s="468">
        <v>50854</v>
      </c>
      <c r="AJ8482" s="5" t="s">
        <v>3617</v>
      </c>
      <c r="AK8482" s="5" t="s">
        <v>3620</v>
      </c>
    </row>
    <row r="8483" spans="35:37">
      <c r="AI8483" s="468">
        <v>50855</v>
      </c>
      <c r="AJ8483" s="5" t="s">
        <v>3619</v>
      </c>
      <c r="AK8483" s="5" t="s">
        <v>3622</v>
      </c>
    </row>
    <row r="8484" spans="35:37">
      <c r="AI8484" s="468">
        <v>50856</v>
      </c>
      <c r="AJ8484" s="5" t="s">
        <v>3621</v>
      </c>
      <c r="AK8484" s="5" t="s">
        <v>3623</v>
      </c>
    </row>
    <row r="8485" spans="35:37">
      <c r="AI8485" s="468">
        <v>50857</v>
      </c>
      <c r="AJ8485" s="5" t="s">
        <v>3579</v>
      </c>
      <c r="AK8485" s="5" t="s">
        <v>3625</v>
      </c>
    </row>
    <row r="8486" spans="35:37">
      <c r="AI8486" s="468">
        <v>50858</v>
      </c>
      <c r="AJ8486" s="5" t="s">
        <v>3624</v>
      </c>
      <c r="AK8486" s="5" t="s">
        <v>3627</v>
      </c>
    </row>
    <row r="8487" spans="35:37">
      <c r="AI8487" s="468">
        <v>50859</v>
      </c>
      <c r="AJ8487" s="5" t="s">
        <v>3626</v>
      </c>
      <c r="AK8487" s="5" t="s">
        <v>3618</v>
      </c>
    </row>
    <row r="8488" spans="35:37">
      <c r="AI8488" s="468">
        <v>50860</v>
      </c>
      <c r="AJ8488" s="5" t="s">
        <v>3628</v>
      </c>
      <c r="AK8488" s="5" t="s">
        <v>3620</v>
      </c>
    </row>
    <row r="8489" spans="35:37">
      <c r="AI8489" s="468">
        <v>50861</v>
      </c>
      <c r="AJ8489" s="5" t="s">
        <v>3617</v>
      </c>
      <c r="AK8489" s="5" t="s">
        <v>3622</v>
      </c>
    </row>
    <row r="8490" spans="35:37">
      <c r="AI8490" s="468">
        <v>50862</v>
      </c>
      <c r="AJ8490" s="5" t="s">
        <v>3619</v>
      </c>
      <c r="AK8490" s="5" t="s">
        <v>3623</v>
      </c>
    </row>
    <row r="8491" spans="35:37">
      <c r="AI8491" s="468">
        <v>50863</v>
      </c>
      <c r="AJ8491" s="5" t="s">
        <v>3621</v>
      </c>
      <c r="AK8491" s="5" t="s">
        <v>3625</v>
      </c>
    </row>
    <row r="8492" spans="35:37">
      <c r="AI8492" s="468">
        <v>50864</v>
      </c>
      <c r="AJ8492" s="5" t="s">
        <v>3579</v>
      </c>
      <c r="AK8492" s="5" t="s">
        <v>3627</v>
      </c>
    </row>
    <row r="8493" spans="35:37">
      <c r="AI8493" s="468">
        <v>50865</v>
      </c>
      <c r="AJ8493" s="5" t="s">
        <v>3624</v>
      </c>
      <c r="AK8493" s="5" t="s">
        <v>3618</v>
      </c>
    </row>
    <row r="8494" spans="35:37">
      <c r="AI8494" s="468">
        <v>50866</v>
      </c>
      <c r="AJ8494" s="5" t="s">
        <v>3626</v>
      </c>
      <c r="AK8494" s="5" t="s">
        <v>3620</v>
      </c>
    </row>
    <row r="8495" spans="35:37">
      <c r="AI8495" s="468">
        <v>50867</v>
      </c>
      <c r="AJ8495" s="5" t="s">
        <v>3628</v>
      </c>
      <c r="AK8495" s="5" t="s">
        <v>3622</v>
      </c>
    </row>
    <row r="8496" spans="35:37">
      <c r="AI8496" s="468">
        <v>50868</v>
      </c>
      <c r="AJ8496" s="5" t="s">
        <v>3617</v>
      </c>
      <c r="AK8496" s="5" t="s">
        <v>3623</v>
      </c>
    </row>
    <row r="8497" spans="35:37">
      <c r="AI8497" s="468">
        <v>50869</v>
      </c>
      <c r="AJ8497" s="5" t="s">
        <v>3619</v>
      </c>
      <c r="AK8497" s="5" t="s">
        <v>3625</v>
      </c>
    </row>
    <row r="8498" spans="35:37">
      <c r="AI8498" s="468">
        <v>50870</v>
      </c>
      <c r="AJ8498" s="5" t="s">
        <v>3621</v>
      </c>
      <c r="AK8498" s="5" t="s">
        <v>3627</v>
      </c>
    </row>
    <row r="8499" spans="35:37">
      <c r="AI8499" s="468">
        <v>50871</v>
      </c>
      <c r="AJ8499" s="5" t="s">
        <v>3579</v>
      </c>
      <c r="AK8499" s="5" t="s">
        <v>3618</v>
      </c>
    </row>
    <row r="8500" spans="35:37">
      <c r="AI8500" s="468">
        <v>50872</v>
      </c>
      <c r="AJ8500" s="5" t="s">
        <v>3624</v>
      </c>
      <c r="AK8500" s="5" t="s">
        <v>3620</v>
      </c>
    </row>
    <row r="8501" spans="35:37">
      <c r="AI8501" s="468">
        <v>50873</v>
      </c>
      <c r="AJ8501" s="5" t="s">
        <v>3626</v>
      </c>
      <c r="AK8501" s="5" t="s">
        <v>3622</v>
      </c>
    </row>
    <row r="8502" spans="35:37">
      <c r="AI8502" s="468">
        <v>50874</v>
      </c>
      <c r="AJ8502" s="5" t="s">
        <v>3628</v>
      </c>
      <c r="AK8502" s="5" t="s">
        <v>3623</v>
      </c>
    </row>
    <row r="8503" spans="35:37">
      <c r="AI8503" s="468">
        <v>50875</v>
      </c>
      <c r="AJ8503" s="5" t="s">
        <v>3617</v>
      </c>
      <c r="AK8503" s="5" t="s">
        <v>3625</v>
      </c>
    </row>
    <row r="8504" spans="35:37">
      <c r="AI8504" s="468">
        <v>50876</v>
      </c>
      <c r="AJ8504" s="5" t="s">
        <v>3619</v>
      </c>
      <c r="AK8504" s="5" t="s">
        <v>3627</v>
      </c>
    </row>
    <row r="8505" spans="35:37">
      <c r="AI8505" s="468">
        <v>50877</v>
      </c>
      <c r="AJ8505" s="5" t="s">
        <v>3621</v>
      </c>
      <c r="AK8505" s="5" t="s">
        <v>3618</v>
      </c>
    </row>
    <row r="8506" spans="35:37">
      <c r="AI8506" s="468">
        <v>50878</v>
      </c>
      <c r="AJ8506" s="5" t="s">
        <v>3579</v>
      </c>
      <c r="AK8506" s="5" t="s">
        <v>3620</v>
      </c>
    </row>
    <row r="8507" spans="35:37">
      <c r="AI8507" s="468">
        <v>50879</v>
      </c>
      <c r="AJ8507" s="5" t="s">
        <v>3624</v>
      </c>
      <c r="AK8507" s="5" t="s">
        <v>3622</v>
      </c>
    </row>
    <row r="8508" spans="35:37">
      <c r="AI8508" s="468">
        <v>50880</v>
      </c>
      <c r="AJ8508" s="5" t="s">
        <v>3626</v>
      </c>
      <c r="AK8508" s="5" t="s">
        <v>3623</v>
      </c>
    </row>
    <row r="8509" spans="35:37">
      <c r="AI8509" s="468">
        <v>50881</v>
      </c>
      <c r="AJ8509" s="5" t="s">
        <v>3628</v>
      </c>
      <c r="AK8509" s="5" t="s">
        <v>3625</v>
      </c>
    </row>
    <row r="8510" spans="35:37">
      <c r="AI8510" s="468">
        <v>50882</v>
      </c>
      <c r="AJ8510" s="5" t="s">
        <v>3617</v>
      </c>
      <c r="AK8510" s="5" t="s">
        <v>3627</v>
      </c>
    </row>
    <row r="8511" spans="35:37">
      <c r="AI8511" s="468">
        <v>50883</v>
      </c>
      <c r="AJ8511" s="5" t="s">
        <v>3619</v>
      </c>
      <c r="AK8511" s="5" t="s">
        <v>3622</v>
      </c>
    </row>
    <row r="8512" spans="35:37">
      <c r="AI8512" s="468">
        <v>50884</v>
      </c>
      <c r="AJ8512" s="5" t="s">
        <v>3621</v>
      </c>
      <c r="AK8512" s="5" t="s">
        <v>3623</v>
      </c>
    </row>
    <row r="8513" spans="35:37">
      <c r="AI8513" s="468">
        <v>50885</v>
      </c>
      <c r="AJ8513" s="5" t="s">
        <v>3579</v>
      </c>
      <c r="AK8513" s="5" t="s">
        <v>3625</v>
      </c>
    </row>
    <row r="8514" spans="35:37">
      <c r="AI8514" s="468">
        <v>50886</v>
      </c>
      <c r="AJ8514" s="5" t="s">
        <v>3624</v>
      </c>
      <c r="AK8514" s="5" t="s">
        <v>3627</v>
      </c>
    </row>
    <row r="8515" spans="35:37">
      <c r="AI8515" s="468">
        <v>50887</v>
      </c>
      <c r="AJ8515" s="5" t="s">
        <v>3626</v>
      </c>
      <c r="AK8515" s="5" t="s">
        <v>3618</v>
      </c>
    </row>
    <row r="8516" spans="35:37">
      <c r="AI8516" s="468">
        <v>50888</v>
      </c>
      <c r="AJ8516" s="5" t="s">
        <v>3628</v>
      </c>
      <c r="AK8516" s="5" t="s">
        <v>3620</v>
      </c>
    </row>
    <row r="8517" spans="35:37">
      <c r="AI8517" s="468">
        <v>50889</v>
      </c>
      <c r="AJ8517" s="5" t="s">
        <v>3617</v>
      </c>
      <c r="AK8517" s="5" t="s">
        <v>3622</v>
      </c>
    </row>
    <row r="8518" spans="35:37">
      <c r="AI8518" s="468">
        <v>50890</v>
      </c>
      <c r="AJ8518" s="5" t="s">
        <v>3619</v>
      </c>
      <c r="AK8518" s="5" t="s">
        <v>3623</v>
      </c>
    </row>
    <row r="8519" spans="35:37">
      <c r="AI8519" s="468">
        <v>50891</v>
      </c>
      <c r="AJ8519" s="5" t="s">
        <v>3621</v>
      </c>
      <c r="AK8519" s="5" t="s">
        <v>3625</v>
      </c>
    </row>
    <row r="8520" spans="35:37">
      <c r="AI8520" s="468">
        <v>50892</v>
      </c>
      <c r="AJ8520" s="5" t="s">
        <v>3579</v>
      </c>
      <c r="AK8520" s="5" t="s">
        <v>3627</v>
      </c>
    </row>
    <row r="8521" spans="35:37">
      <c r="AI8521" s="468">
        <v>50893</v>
      </c>
      <c r="AJ8521" s="5" t="s">
        <v>3624</v>
      </c>
      <c r="AK8521" s="5" t="s">
        <v>3618</v>
      </c>
    </row>
    <row r="8522" spans="35:37">
      <c r="AI8522" s="468">
        <v>50894</v>
      </c>
      <c r="AJ8522" s="5" t="s">
        <v>3626</v>
      </c>
      <c r="AK8522" s="5" t="s">
        <v>3620</v>
      </c>
    </row>
    <row r="8523" spans="35:37">
      <c r="AI8523" s="468">
        <v>50895</v>
      </c>
      <c r="AJ8523" s="5" t="s">
        <v>3628</v>
      </c>
      <c r="AK8523" s="5" t="s">
        <v>3622</v>
      </c>
    </row>
    <row r="8524" spans="35:37">
      <c r="AI8524" s="468">
        <v>50896</v>
      </c>
      <c r="AJ8524" s="5" t="s">
        <v>3617</v>
      </c>
      <c r="AK8524" s="5" t="s">
        <v>3623</v>
      </c>
    </row>
    <row r="8525" spans="35:37">
      <c r="AI8525" s="468">
        <v>50897</v>
      </c>
      <c r="AJ8525" s="5" t="s">
        <v>3619</v>
      </c>
      <c r="AK8525" s="5" t="s">
        <v>3625</v>
      </c>
    </row>
    <row r="8526" spans="35:37">
      <c r="AI8526" s="468">
        <v>50898</v>
      </c>
      <c r="AJ8526" s="5" t="s">
        <v>3621</v>
      </c>
      <c r="AK8526" s="5" t="s">
        <v>3627</v>
      </c>
    </row>
    <row r="8527" spans="35:37">
      <c r="AI8527" s="468">
        <v>50899</v>
      </c>
      <c r="AJ8527" s="5" t="s">
        <v>3579</v>
      </c>
      <c r="AK8527" s="5" t="s">
        <v>3618</v>
      </c>
    </row>
    <row r="8528" spans="35:37">
      <c r="AI8528" s="468">
        <v>50900</v>
      </c>
      <c r="AJ8528" s="5" t="s">
        <v>3624</v>
      </c>
      <c r="AK8528" s="5" t="s">
        <v>3620</v>
      </c>
    </row>
    <row r="8529" spans="35:37">
      <c r="AI8529" s="468">
        <v>50901</v>
      </c>
      <c r="AJ8529" s="5" t="s">
        <v>3626</v>
      </c>
      <c r="AK8529" s="5" t="s">
        <v>3622</v>
      </c>
    </row>
    <row r="8530" spans="35:37">
      <c r="AI8530" s="468">
        <v>50902</v>
      </c>
      <c r="AJ8530" s="5" t="s">
        <v>3628</v>
      </c>
      <c r="AK8530" s="5" t="s">
        <v>3623</v>
      </c>
    </row>
    <row r="8531" spans="35:37">
      <c r="AI8531" s="468">
        <v>50903</v>
      </c>
      <c r="AJ8531" s="5" t="s">
        <v>3617</v>
      </c>
      <c r="AK8531" s="5" t="s">
        <v>3625</v>
      </c>
    </row>
    <row r="8532" spans="35:37">
      <c r="AI8532" s="468">
        <v>50904</v>
      </c>
      <c r="AJ8532" s="5" t="s">
        <v>3619</v>
      </c>
      <c r="AK8532" s="5" t="s">
        <v>3627</v>
      </c>
    </row>
    <row r="8533" spans="35:37">
      <c r="AI8533" s="468">
        <v>50905</v>
      </c>
      <c r="AJ8533" s="5" t="s">
        <v>3621</v>
      </c>
      <c r="AK8533" s="5" t="s">
        <v>3618</v>
      </c>
    </row>
    <row r="8534" spans="35:37">
      <c r="AI8534" s="468">
        <v>50906</v>
      </c>
      <c r="AJ8534" s="5" t="s">
        <v>3579</v>
      </c>
      <c r="AK8534" s="5" t="s">
        <v>3620</v>
      </c>
    </row>
    <row r="8535" spans="35:37">
      <c r="AI8535" s="468">
        <v>50907</v>
      </c>
      <c r="AJ8535" s="5" t="s">
        <v>3624</v>
      </c>
      <c r="AK8535" s="5" t="s">
        <v>3622</v>
      </c>
    </row>
    <row r="8536" spans="35:37">
      <c r="AI8536" s="468">
        <v>50908</v>
      </c>
      <c r="AJ8536" s="5" t="s">
        <v>3626</v>
      </c>
      <c r="AK8536" s="5" t="s">
        <v>3623</v>
      </c>
    </row>
    <row r="8537" spans="35:37">
      <c r="AI8537" s="468">
        <v>50909</v>
      </c>
      <c r="AJ8537" s="5" t="s">
        <v>3628</v>
      </c>
      <c r="AK8537" s="5" t="s">
        <v>3625</v>
      </c>
    </row>
    <row r="8538" spans="35:37">
      <c r="AI8538" s="468">
        <v>50910</v>
      </c>
      <c r="AJ8538" s="5" t="s">
        <v>3617</v>
      </c>
      <c r="AK8538" s="5" t="s">
        <v>3627</v>
      </c>
    </row>
    <row r="8539" spans="35:37">
      <c r="AI8539" s="468">
        <v>50911</v>
      </c>
      <c r="AJ8539" s="5" t="s">
        <v>3619</v>
      </c>
      <c r="AK8539" s="5" t="s">
        <v>3618</v>
      </c>
    </row>
    <row r="8540" spans="35:37">
      <c r="AI8540" s="468">
        <v>50912</v>
      </c>
      <c r="AJ8540" s="5" t="s">
        <v>3621</v>
      </c>
      <c r="AK8540" s="5" t="s">
        <v>3620</v>
      </c>
    </row>
    <row r="8541" spans="35:37">
      <c r="AI8541" s="468">
        <v>50913</v>
      </c>
      <c r="AJ8541" s="5" t="s">
        <v>3579</v>
      </c>
      <c r="AK8541" s="5" t="s">
        <v>3623</v>
      </c>
    </row>
    <row r="8542" spans="35:37">
      <c r="AI8542" s="468">
        <v>50914</v>
      </c>
      <c r="AJ8542" s="5" t="s">
        <v>3624</v>
      </c>
      <c r="AK8542" s="5" t="s">
        <v>3625</v>
      </c>
    </row>
    <row r="8543" spans="35:37">
      <c r="AI8543" s="468">
        <v>50915</v>
      </c>
      <c r="AJ8543" s="5" t="s">
        <v>3626</v>
      </c>
      <c r="AK8543" s="5" t="s">
        <v>3627</v>
      </c>
    </row>
    <row r="8544" spans="35:37">
      <c r="AI8544" s="468">
        <v>50916</v>
      </c>
      <c r="AJ8544" s="5" t="s">
        <v>3628</v>
      </c>
      <c r="AK8544" s="5" t="s">
        <v>3618</v>
      </c>
    </row>
    <row r="8545" spans="35:37">
      <c r="AI8545" s="468">
        <v>50917</v>
      </c>
      <c r="AJ8545" s="5" t="s">
        <v>3617</v>
      </c>
      <c r="AK8545" s="5" t="s">
        <v>3620</v>
      </c>
    </row>
    <row r="8546" spans="35:37">
      <c r="AI8546" s="468">
        <v>50918</v>
      </c>
      <c r="AJ8546" s="5" t="s">
        <v>3619</v>
      </c>
      <c r="AK8546" s="5" t="s">
        <v>3622</v>
      </c>
    </row>
    <row r="8547" spans="35:37">
      <c r="AI8547" s="468">
        <v>50919</v>
      </c>
      <c r="AJ8547" s="5" t="s">
        <v>3621</v>
      </c>
      <c r="AK8547" s="5" t="s">
        <v>3623</v>
      </c>
    </row>
    <row r="8548" spans="35:37">
      <c r="AI8548" s="468">
        <v>50920</v>
      </c>
      <c r="AJ8548" s="5" t="s">
        <v>3579</v>
      </c>
      <c r="AK8548" s="5" t="s">
        <v>3625</v>
      </c>
    </row>
    <row r="8549" spans="35:37">
      <c r="AI8549" s="468">
        <v>50921</v>
      </c>
      <c r="AJ8549" s="5" t="s">
        <v>3624</v>
      </c>
      <c r="AK8549" s="5" t="s">
        <v>3627</v>
      </c>
    </row>
    <row r="8550" spans="35:37">
      <c r="AI8550" s="468">
        <v>50922</v>
      </c>
      <c r="AJ8550" s="5" t="s">
        <v>3626</v>
      </c>
      <c r="AK8550" s="5" t="s">
        <v>3618</v>
      </c>
    </row>
    <row r="8551" spans="35:37">
      <c r="AI8551" s="468">
        <v>50923</v>
      </c>
      <c r="AJ8551" s="5" t="s">
        <v>3628</v>
      </c>
      <c r="AK8551" s="5" t="s">
        <v>3620</v>
      </c>
    </row>
    <row r="8552" spans="35:37">
      <c r="AI8552" s="468">
        <v>50924</v>
      </c>
      <c r="AJ8552" s="5" t="s">
        <v>3617</v>
      </c>
      <c r="AK8552" s="5" t="s">
        <v>3622</v>
      </c>
    </row>
    <row r="8553" spans="35:37">
      <c r="AI8553" s="468">
        <v>50925</v>
      </c>
      <c r="AJ8553" s="5" t="s">
        <v>3619</v>
      </c>
      <c r="AK8553" s="5" t="s">
        <v>3623</v>
      </c>
    </row>
    <row r="8554" spans="35:37">
      <c r="AI8554" s="468">
        <v>50926</v>
      </c>
      <c r="AJ8554" s="5" t="s">
        <v>3621</v>
      </c>
      <c r="AK8554" s="5" t="s">
        <v>3625</v>
      </c>
    </row>
    <row r="8555" spans="35:37">
      <c r="AI8555" s="468">
        <v>50927</v>
      </c>
      <c r="AJ8555" s="5" t="s">
        <v>3579</v>
      </c>
      <c r="AK8555" s="5" t="s">
        <v>3627</v>
      </c>
    </row>
    <row r="8556" spans="35:37">
      <c r="AI8556" s="468">
        <v>50928</v>
      </c>
      <c r="AJ8556" s="5" t="s">
        <v>3624</v>
      </c>
      <c r="AK8556" s="5" t="s">
        <v>3618</v>
      </c>
    </row>
    <row r="8557" spans="35:37">
      <c r="AI8557" s="468">
        <v>50929</v>
      </c>
      <c r="AJ8557" s="5" t="s">
        <v>3626</v>
      </c>
      <c r="AK8557" s="5" t="s">
        <v>3620</v>
      </c>
    </row>
    <row r="8558" spans="35:37">
      <c r="AI8558" s="468">
        <v>50930</v>
      </c>
      <c r="AJ8558" s="5" t="s">
        <v>3628</v>
      </c>
      <c r="AK8558" s="5" t="s">
        <v>3622</v>
      </c>
    </row>
    <row r="8559" spans="35:37">
      <c r="AI8559" s="468">
        <v>50931</v>
      </c>
      <c r="AJ8559" s="5" t="s">
        <v>3617</v>
      </c>
      <c r="AK8559" s="5" t="s">
        <v>3623</v>
      </c>
    </row>
    <row r="8560" spans="35:37">
      <c r="AI8560" s="468">
        <v>50932</v>
      </c>
      <c r="AJ8560" s="5" t="s">
        <v>3619</v>
      </c>
      <c r="AK8560" s="5" t="s">
        <v>3625</v>
      </c>
    </row>
    <row r="8561" spans="35:37">
      <c r="AI8561" s="468">
        <v>50933</v>
      </c>
      <c r="AJ8561" s="5" t="s">
        <v>3621</v>
      </c>
      <c r="AK8561" s="5" t="s">
        <v>3627</v>
      </c>
    </row>
    <row r="8562" spans="35:37">
      <c r="AI8562" s="468">
        <v>50934</v>
      </c>
      <c r="AJ8562" s="5" t="s">
        <v>3579</v>
      </c>
      <c r="AK8562" s="5" t="s">
        <v>3618</v>
      </c>
    </row>
    <row r="8563" spans="35:37">
      <c r="AI8563" s="468">
        <v>50935</v>
      </c>
      <c r="AJ8563" s="5" t="s">
        <v>3624</v>
      </c>
      <c r="AK8563" s="5" t="s">
        <v>3620</v>
      </c>
    </row>
    <row r="8564" spans="35:37">
      <c r="AI8564" s="468">
        <v>50936</v>
      </c>
      <c r="AJ8564" s="5" t="s">
        <v>3626</v>
      </c>
      <c r="AK8564" s="5" t="s">
        <v>3622</v>
      </c>
    </row>
    <row r="8565" spans="35:37">
      <c r="AI8565" s="468">
        <v>50937</v>
      </c>
      <c r="AJ8565" s="5" t="s">
        <v>3628</v>
      </c>
      <c r="AK8565" s="5" t="s">
        <v>3623</v>
      </c>
    </row>
    <row r="8566" spans="35:37">
      <c r="AI8566" s="468">
        <v>50938</v>
      </c>
      <c r="AJ8566" s="5" t="s">
        <v>3617</v>
      </c>
      <c r="AK8566" s="5" t="s">
        <v>3625</v>
      </c>
    </row>
    <row r="8567" spans="35:37">
      <c r="AI8567" s="468">
        <v>50939</v>
      </c>
      <c r="AJ8567" s="5" t="s">
        <v>3619</v>
      </c>
      <c r="AK8567" s="5" t="s">
        <v>3627</v>
      </c>
    </row>
    <row r="8568" spans="35:37">
      <c r="AI8568" s="468">
        <v>50940</v>
      </c>
      <c r="AJ8568" s="5" t="s">
        <v>3621</v>
      </c>
      <c r="AK8568" s="5" t="s">
        <v>3618</v>
      </c>
    </row>
    <row r="8569" spans="35:37">
      <c r="AI8569" s="468">
        <v>50941</v>
      </c>
      <c r="AJ8569" s="5" t="s">
        <v>3579</v>
      </c>
      <c r="AK8569" s="5" t="s">
        <v>3620</v>
      </c>
    </row>
    <row r="8570" spans="35:37">
      <c r="AI8570" s="468">
        <v>50942</v>
      </c>
      <c r="AJ8570" s="5" t="s">
        <v>3624</v>
      </c>
      <c r="AK8570" s="5" t="s">
        <v>3622</v>
      </c>
    </row>
    <row r="8571" spans="35:37">
      <c r="AI8571" s="468">
        <v>50943</v>
      </c>
      <c r="AJ8571" s="5" t="s">
        <v>3626</v>
      </c>
      <c r="AK8571" s="5" t="s">
        <v>3623</v>
      </c>
    </row>
    <row r="8572" spans="35:37">
      <c r="AI8572" s="468">
        <v>50944</v>
      </c>
      <c r="AJ8572" s="5" t="s">
        <v>3628</v>
      </c>
      <c r="AK8572" s="5" t="s">
        <v>3625</v>
      </c>
    </row>
    <row r="8573" spans="35:37">
      <c r="AI8573" s="468">
        <v>50945</v>
      </c>
      <c r="AJ8573" s="5" t="s">
        <v>3617</v>
      </c>
      <c r="AK8573" s="5" t="s">
        <v>3627</v>
      </c>
    </row>
    <row r="8574" spans="35:37">
      <c r="AI8574" s="468">
        <v>50946</v>
      </c>
      <c r="AJ8574" s="5" t="s">
        <v>3619</v>
      </c>
      <c r="AK8574" s="5" t="s">
        <v>3618</v>
      </c>
    </row>
    <row r="8575" spans="35:37">
      <c r="AI8575" s="468">
        <v>50947</v>
      </c>
      <c r="AJ8575" s="5" t="s">
        <v>3621</v>
      </c>
      <c r="AK8575" s="5" t="s">
        <v>3620</v>
      </c>
    </row>
    <row r="8576" spans="35:37">
      <c r="AI8576" s="468">
        <v>50948</v>
      </c>
      <c r="AJ8576" s="5" t="s">
        <v>3579</v>
      </c>
      <c r="AK8576" s="5" t="s">
        <v>3622</v>
      </c>
    </row>
    <row r="8577" spans="35:37">
      <c r="AI8577" s="468">
        <v>50949</v>
      </c>
      <c r="AJ8577" s="5" t="s">
        <v>3624</v>
      </c>
      <c r="AK8577" s="5" t="s">
        <v>3623</v>
      </c>
    </row>
    <row r="8578" spans="35:37">
      <c r="AI8578" s="468">
        <v>50950</v>
      </c>
      <c r="AJ8578" s="5" t="s">
        <v>3626</v>
      </c>
      <c r="AK8578" s="5" t="s">
        <v>3625</v>
      </c>
    </row>
    <row r="8579" spans="35:37">
      <c r="AI8579" s="468">
        <v>50951</v>
      </c>
      <c r="AJ8579" s="5" t="s">
        <v>3628</v>
      </c>
      <c r="AK8579" s="5" t="s">
        <v>3627</v>
      </c>
    </row>
    <row r="8580" spans="35:37">
      <c r="AI8580" s="468">
        <v>50952</v>
      </c>
      <c r="AJ8580" s="5" t="s">
        <v>3617</v>
      </c>
      <c r="AK8580" s="5" t="s">
        <v>3618</v>
      </c>
    </row>
    <row r="8581" spans="35:37">
      <c r="AI8581" s="468">
        <v>50953</v>
      </c>
      <c r="AJ8581" s="5" t="s">
        <v>3619</v>
      </c>
      <c r="AK8581" s="5" t="s">
        <v>3620</v>
      </c>
    </row>
    <row r="8582" spans="35:37">
      <c r="AI8582" s="468">
        <v>50954</v>
      </c>
      <c r="AJ8582" s="5" t="s">
        <v>3621</v>
      </c>
      <c r="AK8582" s="5" t="s">
        <v>3622</v>
      </c>
    </row>
    <row r="8583" spans="35:37">
      <c r="AI8583" s="468">
        <v>50955</v>
      </c>
      <c r="AJ8583" s="5" t="s">
        <v>3579</v>
      </c>
      <c r="AK8583" s="5" t="s">
        <v>3623</v>
      </c>
    </row>
    <row r="8584" spans="35:37">
      <c r="AI8584" s="468">
        <v>50956</v>
      </c>
      <c r="AJ8584" s="5" t="s">
        <v>3624</v>
      </c>
      <c r="AK8584" s="5" t="s">
        <v>3625</v>
      </c>
    </row>
    <row r="8585" spans="35:37">
      <c r="AI8585" s="468">
        <v>50957</v>
      </c>
      <c r="AJ8585" s="5" t="s">
        <v>3626</v>
      </c>
      <c r="AK8585" s="5" t="s">
        <v>3627</v>
      </c>
    </row>
    <row r="8586" spans="35:37">
      <c r="AI8586" s="468">
        <v>50958</v>
      </c>
      <c r="AJ8586" s="5" t="s">
        <v>3628</v>
      </c>
      <c r="AK8586" s="5" t="s">
        <v>3618</v>
      </c>
    </row>
    <row r="8587" spans="35:37">
      <c r="AI8587" s="468">
        <v>50959</v>
      </c>
      <c r="AJ8587" s="5" t="s">
        <v>3617</v>
      </c>
      <c r="AK8587" s="5" t="s">
        <v>3620</v>
      </c>
    </row>
    <row r="8588" spans="35:37">
      <c r="AI8588" s="468">
        <v>50960</v>
      </c>
      <c r="AJ8588" s="5" t="s">
        <v>3619</v>
      </c>
      <c r="AK8588" s="5" t="s">
        <v>3622</v>
      </c>
    </row>
    <row r="8589" spans="35:37">
      <c r="AI8589" s="468">
        <v>50961</v>
      </c>
      <c r="AJ8589" s="5" t="s">
        <v>3621</v>
      </c>
      <c r="AK8589" s="5" t="s">
        <v>3623</v>
      </c>
    </row>
    <row r="8590" spans="35:37">
      <c r="AI8590" s="468">
        <v>50962</v>
      </c>
      <c r="AJ8590" s="5" t="s">
        <v>3579</v>
      </c>
      <c r="AK8590" s="5" t="s">
        <v>3625</v>
      </c>
    </row>
    <row r="8591" spans="35:37">
      <c r="AI8591" s="468">
        <v>50963</v>
      </c>
      <c r="AJ8591" s="5" t="s">
        <v>3624</v>
      </c>
      <c r="AK8591" s="5" t="s">
        <v>3627</v>
      </c>
    </row>
    <row r="8592" spans="35:37">
      <c r="AI8592" s="468">
        <v>50964</v>
      </c>
      <c r="AJ8592" s="5" t="s">
        <v>3626</v>
      </c>
      <c r="AK8592" s="5" t="s">
        <v>3618</v>
      </c>
    </row>
    <row r="8593" spans="35:37">
      <c r="AI8593" s="468">
        <v>50965</v>
      </c>
      <c r="AJ8593" s="5" t="s">
        <v>3628</v>
      </c>
      <c r="AK8593" s="5" t="s">
        <v>3620</v>
      </c>
    </row>
    <row r="8594" spans="35:37">
      <c r="AI8594" s="468">
        <v>50966</v>
      </c>
      <c r="AJ8594" s="5" t="s">
        <v>3617</v>
      </c>
      <c r="AK8594" s="5" t="s">
        <v>3622</v>
      </c>
    </row>
    <row r="8595" spans="35:37">
      <c r="AI8595" s="468">
        <v>50967</v>
      </c>
      <c r="AJ8595" s="5" t="s">
        <v>3619</v>
      </c>
      <c r="AK8595" s="5" t="s">
        <v>3623</v>
      </c>
    </row>
    <row r="8596" spans="35:37">
      <c r="AI8596" s="468">
        <v>50968</v>
      </c>
      <c r="AJ8596" s="5" t="s">
        <v>3621</v>
      </c>
      <c r="AK8596" s="5" t="s">
        <v>3625</v>
      </c>
    </row>
    <row r="8597" spans="35:37">
      <c r="AI8597" s="468">
        <v>50969</v>
      </c>
      <c r="AJ8597" s="5" t="s">
        <v>3579</v>
      </c>
      <c r="AK8597" s="5" t="s">
        <v>3627</v>
      </c>
    </row>
    <row r="8598" spans="35:37">
      <c r="AI8598" s="468">
        <v>50970</v>
      </c>
      <c r="AJ8598" s="5" t="s">
        <v>3624</v>
      </c>
      <c r="AK8598" s="5" t="s">
        <v>3618</v>
      </c>
    </row>
    <row r="8599" spans="35:37">
      <c r="AI8599" s="468">
        <v>50971</v>
      </c>
      <c r="AJ8599" s="5" t="s">
        <v>3626</v>
      </c>
      <c r="AK8599" s="5" t="s">
        <v>3620</v>
      </c>
    </row>
    <row r="8600" spans="35:37">
      <c r="AI8600" s="468">
        <v>50972</v>
      </c>
      <c r="AJ8600" s="5" t="s">
        <v>3628</v>
      </c>
      <c r="AK8600" s="5" t="s">
        <v>3625</v>
      </c>
    </row>
    <row r="8601" spans="35:37">
      <c r="AI8601" s="468">
        <v>50973</v>
      </c>
      <c r="AJ8601" s="5" t="s">
        <v>3617</v>
      </c>
      <c r="AK8601" s="5" t="s">
        <v>3627</v>
      </c>
    </row>
    <row r="8602" spans="35:37">
      <c r="AI8602" s="468">
        <v>50974</v>
      </c>
      <c r="AJ8602" s="5" t="s">
        <v>3619</v>
      </c>
      <c r="AK8602" s="5" t="s">
        <v>3618</v>
      </c>
    </row>
    <row r="8603" spans="35:37">
      <c r="AI8603" s="468">
        <v>50975</v>
      </c>
      <c r="AJ8603" s="5" t="s">
        <v>3621</v>
      </c>
      <c r="AK8603" s="5" t="s">
        <v>3620</v>
      </c>
    </row>
    <row r="8604" spans="35:37">
      <c r="AI8604" s="468">
        <v>50976</v>
      </c>
      <c r="AJ8604" s="5" t="s">
        <v>3579</v>
      </c>
      <c r="AK8604" s="5" t="s">
        <v>3622</v>
      </c>
    </row>
    <row r="8605" spans="35:37">
      <c r="AI8605" s="468">
        <v>50977</v>
      </c>
      <c r="AJ8605" s="5" t="s">
        <v>3624</v>
      </c>
      <c r="AK8605" s="5" t="s">
        <v>3623</v>
      </c>
    </row>
    <row r="8606" spans="35:37">
      <c r="AI8606" s="468">
        <v>50978</v>
      </c>
      <c r="AJ8606" s="5" t="s">
        <v>3626</v>
      </c>
      <c r="AK8606" s="5" t="s">
        <v>3625</v>
      </c>
    </row>
    <row r="8607" spans="35:37">
      <c r="AI8607" s="468">
        <v>50979</v>
      </c>
      <c r="AJ8607" s="5" t="s">
        <v>3628</v>
      </c>
      <c r="AK8607" s="5" t="s">
        <v>3627</v>
      </c>
    </row>
    <row r="8608" spans="35:37">
      <c r="AI8608" s="468">
        <v>50980</v>
      </c>
      <c r="AJ8608" s="5" t="s">
        <v>3617</v>
      </c>
      <c r="AK8608" s="5" t="s">
        <v>3618</v>
      </c>
    </row>
    <row r="8609" spans="35:37">
      <c r="AI8609" s="468">
        <v>50981</v>
      </c>
      <c r="AJ8609" s="5" t="s">
        <v>3619</v>
      </c>
      <c r="AK8609" s="5" t="s">
        <v>3620</v>
      </c>
    </row>
    <row r="8610" spans="35:37">
      <c r="AI8610" s="468">
        <v>50982</v>
      </c>
      <c r="AJ8610" s="5" t="s">
        <v>3621</v>
      </c>
      <c r="AK8610" s="5" t="s">
        <v>3622</v>
      </c>
    </row>
    <row r="8611" spans="35:37">
      <c r="AI8611" s="468">
        <v>50983</v>
      </c>
      <c r="AJ8611" s="5" t="s">
        <v>3579</v>
      </c>
      <c r="AK8611" s="5" t="s">
        <v>3623</v>
      </c>
    </row>
    <row r="8612" spans="35:37">
      <c r="AI8612" s="468">
        <v>50984</v>
      </c>
      <c r="AJ8612" s="5" t="s">
        <v>3624</v>
      </c>
      <c r="AK8612" s="5" t="s">
        <v>3625</v>
      </c>
    </row>
    <row r="8613" spans="35:37">
      <c r="AI8613" s="468">
        <v>50985</v>
      </c>
      <c r="AJ8613" s="5" t="s">
        <v>3626</v>
      </c>
      <c r="AK8613" s="5" t="s">
        <v>3627</v>
      </c>
    </row>
    <row r="8614" spans="35:37">
      <c r="AI8614" s="468">
        <v>50986</v>
      </c>
      <c r="AJ8614" s="5" t="s">
        <v>3628</v>
      </c>
      <c r="AK8614" s="5" t="s">
        <v>3618</v>
      </c>
    </row>
    <row r="8615" spans="35:37">
      <c r="AI8615" s="468">
        <v>50987</v>
      </c>
      <c r="AJ8615" s="5" t="s">
        <v>3617</v>
      </c>
      <c r="AK8615" s="5" t="s">
        <v>3620</v>
      </c>
    </row>
    <row r="8616" spans="35:37">
      <c r="AI8616" s="468">
        <v>50988</v>
      </c>
      <c r="AJ8616" s="5" t="s">
        <v>3619</v>
      </c>
      <c r="AK8616" s="5" t="s">
        <v>3622</v>
      </c>
    </row>
    <row r="8617" spans="35:37">
      <c r="AI8617" s="468">
        <v>50989</v>
      </c>
      <c r="AJ8617" s="5" t="s">
        <v>3621</v>
      </c>
      <c r="AK8617" s="5" t="s">
        <v>3623</v>
      </c>
    </row>
    <row r="8618" spans="35:37">
      <c r="AI8618" s="468">
        <v>50990</v>
      </c>
      <c r="AJ8618" s="5" t="s">
        <v>3579</v>
      </c>
      <c r="AK8618" s="5" t="s">
        <v>3625</v>
      </c>
    </row>
    <row r="8619" spans="35:37">
      <c r="AI8619" s="468">
        <v>50991</v>
      </c>
      <c r="AJ8619" s="5" t="s">
        <v>3624</v>
      </c>
      <c r="AK8619" s="5" t="s">
        <v>3627</v>
      </c>
    </row>
    <row r="8620" spans="35:37">
      <c r="AI8620" s="468">
        <v>50992</v>
      </c>
      <c r="AJ8620" s="5" t="s">
        <v>3626</v>
      </c>
      <c r="AK8620" s="5" t="s">
        <v>3618</v>
      </c>
    </row>
    <row r="8621" spans="35:37">
      <c r="AI8621" s="468">
        <v>50993</v>
      </c>
      <c r="AJ8621" s="5" t="s">
        <v>3628</v>
      </c>
      <c r="AK8621" s="5" t="s">
        <v>3620</v>
      </c>
    </row>
    <row r="8622" spans="35:37">
      <c r="AI8622" s="468">
        <v>50994</v>
      </c>
      <c r="AJ8622" s="5" t="s">
        <v>3617</v>
      </c>
      <c r="AK8622" s="5" t="s">
        <v>3622</v>
      </c>
    </row>
    <row r="8623" spans="35:37">
      <c r="AI8623" s="468">
        <v>50995</v>
      </c>
      <c r="AJ8623" s="5" t="s">
        <v>3619</v>
      </c>
      <c r="AK8623" s="5" t="s">
        <v>3623</v>
      </c>
    </row>
    <row r="8624" spans="35:37">
      <c r="AI8624" s="468">
        <v>50996</v>
      </c>
      <c r="AJ8624" s="5" t="s">
        <v>3621</v>
      </c>
      <c r="AK8624" s="5" t="s">
        <v>3625</v>
      </c>
    </row>
    <row r="8625" spans="35:37">
      <c r="AI8625" s="468">
        <v>50997</v>
      </c>
      <c r="AJ8625" s="5" t="s">
        <v>3579</v>
      </c>
      <c r="AK8625" s="5" t="s">
        <v>3627</v>
      </c>
    </row>
    <row r="8626" spans="35:37">
      <c r="AI8626" s="468">
        <v>50998</v>
      </c>
      <c r="AJ8626" s="5" t="s">
        <v>3624</v>
      </c>
      <c r="AK8626" s="5" t="s">
        <v>3618</v>
      </c>
    </row>
    <row r="8627" spans="35:37">
      <c r="AI8627" s="468">
        <v>50999</v>
      </c>
      <c r="AJ8627" s="5" t="s">
        <v>3626</v>
      </c>
      <c r="AK8627" s="5" t="s">
        <v>3620</v>
      </c>
    </row>
    <row r="8628" spans="35:37">
      <c r="AI8628" s="468">
        <v>51000</v>
      </c>
      <c r="AJ8628" s="5" t="s">
        <v>3628</v>
      </c>
      <c r="AK8628" s="5" t="s">
        <v>3622</v>
      </c>
    </row>
    <row r="8629" spans="35:37">
      <c r="AI8629" s="468">
        <v>51001</v>
      </c>
      <c r="AJ8629" s="5" t="s">
        <v>3617</v>
      </c>
      <c r="AK8629" s="5" t="s">
        <v>3623</v>
      </c>
    </row>
    <row r="8630" spans="35:37">
      <c r="AI8630" s="468">
        <v>51002</v>
      </c>
      <c r="AJ8630" s="5" t="s">
        <v>3619</v>
      </c>
      <c r="AK8630" s="5" t="s">
        <v>3627</v>
      </c>
    </row>
    <row r="8631" spans="35:37">
      <c r="AI8631" s="468">
        <v>51003</v>
      </c>
      <c r="AJ8631" s="5" t="s">
        <v>3621</v>
      </c>
      <c r="AK8631" s="5" t="s">
        <v>3618</v>
      </c>
    </row>
    <row r="8632" spans="35:37">
      <c r="AI8632" s="468">
        <v>51004</v>
      </c>
      <c r="AJ8632" s="5" t="s">
        <v>3579</v>
      </c>
      <c r="AK8632" s="5" t="s">
        <v>3620</v>
      </c>
    </row>
    <row r="8633" spans="35:37">
      <c r="AI8633" s="468">
        <v>51005</v>
      </c>
      <c r="AJ8633" s="5" t="s">
        <v>3624</v>
      </c>
      <c r="AK8633" s="5" t="s">
        <v>3622</v>
      </c>
    </row>
    <row r="8634" spans="35:37">
      <c r="AI8634" s="468">
        <v>51006</v>
      </c>
      <c r="AJ8634" s="5" t="s">
        <v>3626</v>
      </c>
      <c r="AK8634" s="5" t="s">
        <v>3623</v>
      </c>
    </row>
    <row r="8635" spans="35:37">
      <c r="AI8635" s="468">
        <v>51007</v>
      </c>
      <c r="AJ8635" s="5" t="s">
        <v>3628</v>
      </c>
      <c r="AK8635" s="5" t="s">
        <v>3625</v>
      </c>
    </row>
    <row r="8636" spans="35:37">
      <c r="AI8636" s="468">
        <v>51008</v>
      </c>
      <c r="AJ8636" s="5" t="s">
        <v>3617</v>
      </c>
      <c r="AK8636" s="5" t="s">
        <v>3627</v>
      </c>
    </row>
    <row r="8637" spans="35:37">
      <c r="AI8637" s="468">
        <v>51009</v>
      </c>
      <c r="AJ8637" s="5" t="s">
        <v>3619</v>
      </c>
      <c r="AK8637" s="5" t="s">
        <v>3618</v>
      </c>
    </row>
    <row r="8638" spans="35:37">
      <c r="AI8638" s="468">
        <v>51010</v>
      </c>
      <c r="AJ8638" s="5" t="s">
        <v>3621</v>
      </c>
      <c r="AK8638" s="5" t="s">
        <v>3620</v>
      </c>
    </row>
    <row r="8639" spans="35:37">
      <c r="AI8639" s="468">
        <v>51011</v>
      </c>
      <c r="AJ8639" s="5" t="s">
        <v>3579</v>
      </c>
      <c r="AK8639" s="5" t="s">
        <v>3622</v>
      </c>
    </row>
    <row r="8640" spans="35:37">
      <c r="AI8640" s="468">
        <v>51012</v>
      </c>
      <c r="AJ8640" s="5" t="s">
        <v>3624</v>
      </c>
      <c r="AK8640" s="5" t="s">
        <v>3623</v>
      </c>
    </row>
    <row r="8641" spans="35:37">
      <c r="AI8641" s="468">
        <v>51013</v>
      </c>
      <c r="AJ8641" s="5" t="s">
        <v>3626</v>
      </c>
      <c r="AK8641" s="5" t="s">
        <v>3625</v>
      </c>
    </row>
    <row r="8642" spans="35:37">
      <c r="AI8642" s="468">
        <v>51014</v>
      </c>
      <c r="AJ8642" s="5" t="s">
        <v>3628</v>
      </c>
      <c r="AK8642" s="5" t="s">
        <v>3627</v>
      </c>
    </row>
    <row r="8643" spans="35:37">
      <c r="AI8643" s="468">
        <v>51015</v>
      </c>
      <c r="AJ8643" s="5" t="s">
        <v>3617</v>
      </c>
      <c r="AK8643" s="5" t="s">
        <v>3618</v>
      </c>
    </row>
    <row r="8644" spans="35:37">
      <c r="AI8644" s="468">
        <v>51016</v>
      </c>
      <c r="AJ8644" s="5" t="s">
        <v>3619</v>
      </c>
      <c r="AK8644" s="5" t="s">
        <v>3620</v>
      </c>
    </row>
    <row r="8645" spans="35:37">
      <c r="AI8645" s="468">
        <v>51017</v>
      </c>
      <c r="AJ8645" s="5" t="s">
        <v>3621</v>
      </c>
      <c r="AK8645" s="5" t="s">
        <v>3622</v>
      </c>
    </row>
    <row r="8646" spans="35:37">
      <c r="AI8646" s="468">
        <v>51018</v>
      </c>
      <c r="AJ8646" s="5" t="s">
        <v>3579</v>
      </c>
      <c r="AK8646" s="5" t="s">
        <v>3623</v>
      </c>
    </row>
    <row r="8647" spans="35:37">
      <c r="AI8647" s="468">
        <v>51019</v>
      </c>
      <c r="AJ8647" s="5" t="s">
        <v>3624</v>
      </c>
      <c r="AK8647" s="5" t="s">
        <v>3625</v>
      </c>
    </row>
    <row r="8648" spans="35:37">
      <c r="AI8648" s="468">
        <v>51020</v>
      </c>
      <c r="AJ8648" s="5" t="s">
        <v>3626</v>
      </c>
      <c r="AK8648" s="5" t="s">
        <v>3627</v>
      </c>
    </row>
    <row r="8649" spans="35:37">
      <c r="AI8649" s="468">
        <v>51021</v>
      </c>
      <c r="AJ8649" s="5" t="s">
        <v>3628</v>
      </c>
      <c r="AK8649" s="5" t="s">
        <v>3618</v>
      </c>
    </row>
    <row r="8650" spans="35:37">
      <c r="AI8650" s="468">
        <v>51022</v>
      </c>
      <c r="AJ8650" s="5" t="s">
        <v>3617</v>
      </c>
      <c r="AK8650" s="5" t="s">
        <v>3620</v>
      </c>
    </row>
    <row r="8651" spans="35:37">
      <c r="AI8651" s="468">
        <v>51023</v>
      </c>
      <c r="AJ8651" s="5" t="s">
        <v>3619</v>
      </c>
      <c r="AK8651" s="5" t="s">
        <v>3622</v>
      </c>
    </row>
    <row r="8652" spans="35:37">
      <c r="AI8652" s="468">
        <v>51024</v>
      </c>
      <c r="AJ8652" s="5" t="s">
        <v>3621</v>
      </c>
      <c r="AK8652" s="5" t="s">
        <v>3623</v>
      </c>
    </row>
    <row r="8653" spans="35:37">
      <c r="AI8653" s="468">
        <v>51025</v>
      </c>
      <c r="AJ8653" s="5" t="s">
        <v>3579</v>
      </c>
      <c r="AK8653" s="5" t="s">
        <v>3625</v>
      </c>
    </row>
    <row r="8654" spans="35:37">
      <c r="AI8654" s="468">
        <v>51026</v>
      </c>
      <c r="AJ8654" s="5" t="s">
        <v>3624</v>
      </c>
      <c r="AK8654" s="5" t="s">
        <v>3627</v>
      </c>
    </row>
    <row r="8655" spans="35:37">
      <c r="AI8655" s="468">
        <v>51027</v>
      </c>
      <c r="AJ8655" s="5" t="s">
        <v>3626</v>
      </c>
      <c r="AK8655" s="5" t="s">
        <v>3618</v>
      </c>
    </row>
    <row r="8656" spans="35:37">
      <c r="AI8656" s="468">
        <v>51028</v>
      </c>
      <c r="AJ8656" s="5" t="s">
        <v>3628</v>
      </c>
      <c r="AK8656" s="5" t="s">
        <v>3620</v>
      </c>
    </row>
    <row r="8657" spans="35:37">
      <c r="AI8657" s="468">
        <v>51029</v>
      </c>
      <c r="AJ8657" s="5" t="s">
        <v>3617</v>
      </c>
      <c r="AK8657" s="5" t="s">
        <v>3622</v>
      </c>
    </row>
    <row r="8658" spans="35:37">
      <c r="AI8658" s="468">
        <v>51030</v>
      </c>
      <c r="AJ8658" s="5" t="s">
        <v>3619</v>
      </c>
      <c r="AK8658" s="5" t="s">
        <v>3623</v>
      </c>
    </row>
    <row r="8659" spans="35:37">
      <c r="AI8659" s="468">
        <v>51031</v>
      </c>
      <c r="AJ8659" s="5" t="s">
        <v>3621</v>
      </c>
      <c r="AK8659" s="5" t="s">
        <v>3618</v>
      </c>
    </row>
    <row r="8660" spans="35:37">
      <c r="AI8660" s="468">
        <v>51032</v>
      </c>
      <c r="AJ8660" s="5" t="s">
        <v>3579</v>
      </c>
      <c r="AK8660" s="5" t="s">
        <v>3620</v>
      </c>
    </row>
    <row r="8661" spans="35:37">
      <c r="AI8661" s="468">
        <v>51033</v>
      </c>
      <c r="AJ8661" s="5" t="s">
        <v>3624</v>
      </c>
      <c r="AK8661" s="5" t="s">
        <v>3622</v>
      </c>
    </row>
    <row r="8662" spans="35:37">
      <c r="AI8662" s="468">
        <v>51034</v>
      </c>
      <c r="AJ8662" s="5" t="s">
        <v>3626</v>
      </c>
      <c r="AK8662" s="5" t="s">
        <v>3623</v>
      </c>
    </row>
    <row r="8663" spans="35:37">
      <c r="AI8663" s="468">
        <v>51035</v>
      </c>
      <c r="AJ8663" s="5" t="s">
        <v>3628</v>
      </c>
      <c r="AK8663" s="5" t="s">
        <v>3625</v>
      </c>
    </row>
    <row r="8664" spans="35:37">
      <c r="AI8664" s="468">
        <v>51036</v>
      </c>
      <c r="AJ8664" s="5" t="s">
        <v>3617</v>
      </c>
      <c r="AK8664" s="5" t="s">
        <v>3627</v>
      </c>
    </row>
    <row r="8665" spans="35:37">
      <c r="AI8665" s="468">
        <v>51037</v>
      </c>
      <c r="AJ8665" s="5" t="s">
        <v>3619</v>
      </c>
      <c r="AK8665" s="5" t="s">
        <v>3618</v>
      </c>
    </row>
    <row r="8666" spans="35:37">
      <c r="AI8666" s="468">
        <v>51038</v>
      </c>
      <c r="AJ8666" s="5" t="s">
        <v>3621</v>
      </c>
      <c r="AK8666" s="5" t="s">
        <v>3620</v>
      </c>
    </row>
    <row r="8667" spans="35:37">
      <c r="AI8667" s="468">
        <v>51039</v>
      </c>
      <c r="AJ8667" s="5" t="s">
        <v>3579</v>
      </c>
      <c r="AK8667" s="5" t="s">
        <v>3622</v>
      </c>
    </row>
    <row r="8668" spans="35:37">
      <c r="AI8668" s="468">
        <v>51040</v>
      </c>
      <c r="AJ8668" s="5" t="s">
        <v>3624</v>
      </c>
      <c r="AK8668" s="5" t="s">
        <v>3623</v>
      </c>
    </row>
    <row r="8669" spans="35:37">
      <c r="AI8669" s="468">
        <v>51041</v>
      </c>
      <c r="AJ8669" s="5" t="s">
        <v>3626</v>
      </c>
      <c r="AK8669" s="5" t="s">
        <v>3625</v>
      </c>
    </row>
    <row r="8670" spans="35:37">
      <c r="AI8670" s="468">
        <v>51042</v>
      </c>
      <c r="AJ8670" s="5" t="s">
        <v>3628</v>
      </c>
      <c r="AK8670" s="5" t="s">
        <v>3627</v>
      </c>
    </row>
    <row r="8671" spans="35:37">
      <c r="AI8671" s="468">
        <v>51043</v>
      </c>
      <c r="AJ8671" s="5" t="s">
        <v>3617</v>
      </c>
      <c r="AK8671" s="5" t="s">
        <v>3618</v>
      </c>
    </row>
    <row r="8672" spans="35:37">
      <c r="AI8672" s="468">
        <v>51044</v>
      </c>
      <c r="AJ8672" s="5" t="s">
        <v>3619</v>
      </c>
      <c r="AK8672" s="5" t="s">
        <v>3620</v>
      </c>
    </row>
    <row r="8673" spans="35:37">
      <c r="AI8673" s="468">
        <v>51045</v>
      </c>
      <c r="AJ8673" s="5" t="s">
        <v>3621</v>
      </c>
      <c r="AK8673" s="5" t="s">
        <v>3622</v>
      </c>
    </row>
    <row r="8674" spans="35:37">
      <c r="AI8674" s="468">
        <v>51046</v>
      </c>
      <c r="AJ8674" s="5" t="s">
        <v>3579</v>
      </c>
      <c r="AK8674" s="5" t="s">
        <v>3623</v>
      </c>
    </row>
    <row r="8675" spans="35:37">
      <c r="AI8675" s="468">
        <v>51047</v>
      </c>
      <c r="AJ8675" s="5" t="s">
        <v>3624</v>
      </c>
      <c r="AK8675" s="5" t="s">
        <v>3625</v>
      </c>
    </row>
    <row r="8676" spans="35:37">
      <c r="AI8676" s="468">
        <v>51048</v>
      </c>
      <c r="AJ8676" s="5" t="s">
        <v>3626</v>
      </c>
      <c r="AK8676" s="5" t="s">
        <v>3627</v>
      </c>
    </row>
    <row r="8677" spans="35:37">
      <c r="AI8677" s="468">
        <v>51049</v>
      </c>
      <c r="AJ8677" s="5" t="s">
        <v>3628</v>
      </c>
      <c r="AK8677" s="5" t="s">
        <v>3618</v>
      </c>
    </row>
    <row r="8678" spans="35:37">
      <c r="AI8678" s="468">
        <v>51050</v>
      </c>
      <c r="AJ8678" s="5" t="s">
        <v>3617</v>
      </c>
      <c r="AK8678" s="5" t="s">
        <v>3620</v>
      </c>
    </row>
    <row r="8679" spans="35:37">
      <c r="AI8679" s="468">
        <v>51051</v>
      </c>
      <c r="AJ8679" s="5" t="s">
        <v>3619</v>
      </c>
      <c r="AK8679" s="5" t="s">
        <v>3622</v>
      </c>
    </row>
    <row r="8680" spans="35:37">
      <c r="AI8680" s="468">
        <v>51052</v>
      </c>
      <c r="AJ8680" s="5" t="s">
        <v>3621</v>
      </c>
      <c r="AK8680" s="5" t="s">
        <v>3623</v>
      </c>
    </row>
    <row r="8681" spans="35:37">
      <c r="AI8681" s="468">
        <v>51053</v>
      </c>
      <c r="AJ8681" s="5" t="s">
        <v>3579</v>
      </c>
      <c r="AK8681" s="5" t="s">
        <v>3625</v>
      </c>
    </row>
    <row r="8682" spans="35:37">
      <c r="AI8682" s="468">
        <v>51054</v>
      </c>
      <c r="AJ8682" s="5" t="s">
        <v>3624</v>
      </c>
      <c r="AK8682" s="5" t="s">
        <v>3627</v>
      </c>
    </row>
    <row r="8683" spans="35:37">
      <c r="AI8683" s="468">
        <v>51055</v>
      </c>
      <c r="AJ8683" s="5" t="s">
        <v>3626</v>
      </c>
      <c r="AK8683" s="5" t="s">
        <v>3618</v>
      </c>
    </row>
    <row r="8684" spans="35:37">
      <c r="AI8684" s="468">
        <v>51056</v>
      </c>
      <c r="AJ8684" s="5" t="s">
        <v>3628</v>
      </c>
      <c r="AK8684" s="5" t="s">
        <v>3620</v>
      </c>
    </row>
    <row r="8685" spans="35:37">
      <c r="AI8685" s="468">
        <v>51057</v>
      </c>
      <c r="AJ8685" s="5" t="s">
        <v>3617</v>
      </c>
      <c r="AK8685" s="5" t="s">
        <v>3622</v>
      </c>
    </row>
    <row r="8686" spans="35:37">
      <c r="AI8686" s="468">
        <v>51058</v>
      </c>
      <c r="AJ8686" s="5" t="s">
        <v>3619</v>
      </c>
      <c r="AK8686" s="5" t="s">
        <v>3623</v>
      </c>
    </row>
    <row r="8687" spans="35:37">
      <c r="AI8687" s="468">
        <v>51059</v>
      </c>
      <c r="AJ8687" s="5" t="s">
        <v>3621</v>
      </c>
      <c r="AK8687" s="5" t="s">
        <v>3625</v>
      </c>
    </row>
    <row r="8688" spans="35:37">
      <c r="AI8688" s="468">
        <v>51060</v>
      </c>
      <c r="AJ8688" s="5" t="s">
        <v>3579</v>
      </c>
      <c r="AK8688" s="5" t="s">
        <v>3627</v>
      </c>
    </row>
    <row r="8689" spans="35:37">
      <c r="AI8689" s="468">
        <v>51061</v>
      </c>
      <c r="AJ8689" s="5" t="s">
        <v>3624</v>
      </c>
      <c r="AK8689" s="5" t="s">
        <v>3620</v>
      </c>
    </row>
    <row r="8690" spans="35:37">
      <c r="AI8690" s="468">
        <v>51062</v>
      </c>
      <c r="AJ8690" s="5" t="s">
        <v>3626</v>
      </c>
      <c r="AK8690" s="5" t="s">
        <v>3622</v>
      </c>
    </row>
    <row r="8691" spans="35:37">
      <c r="AI8691" s="468">
        <v>51063</v>
      </c>
      <c r="AJ8691" s="5" t="s">
        <v>3628</v>
      </c>
      <c r="AK8691" s="5" t="s">
        <v>3623</v>
      </c>
    </row>
    <row r="8692" spans="35:37">
      <c r="AI8692" s="468">
        <v>51064</v>
      </c>
      <c r="AJ8692" s="5" t="s">
        <v>3617</v>
      </c>
      <c r="AK8692" s="5" t="s">
        <v>3625</v>
      </c>
    </row>
    <row r="8693" spans="35:37">
      <c r="AI8693" s="468">
        <v>51065</v>
      </c>
      <c r="AJ8693" s="5" t="s">
        <v>3619</v>
      </c>
      <c r="AK8693" s="5" t="s">
        <v>3627</v>
      </c>
    </row>
    <row r="8694" spans="35:37">
      <c r="AI8694" s="468">
        <v>51066</v>
      </c>
      <c r="AJ8694" s="5" t="s">
        <v>3621</v>
      </c>
      <c r="AK8694" s="5" t="s">
        <v>3618</v>
      </c>
    </row>
    <row r="8695" spans="35:37">
      <c r="AI8695" s="468">
        <v>51067</v>
      </c>
      <c r="AJ8695" s="5" t="s">
        <v>3579</v>
      </c>
      <c r="AK8695" s="5" t="s">
        <v>3620</v>
      </c>
    </row>
    <row r="8696" spans="35:37">
      <c r="AI8696" s="468">
        <v>51068</v>
      </c>
      <c r="AJ8696" s="5" t="s">
        <v>3624</v>
      </c>
      <c r="AK8696" s="5" t="s">
        <v>3622</v>
      </c>
    </row>
    <row r="8697" spans="35:37">
      <c r="AI8697" s="468">
        <v>51069</v>
      </c>
      <c r="AJ8697" s="5" t="s">
        <v>3626</v>
      </c>
      <c r="AK8697" s="5" t="s">
        <v>3623</v>
      </c>
    </row>
    <row r="8698" spans="35:37">
      <c r="AI8698" s="468">
        <v>51070</v>
      </c>
      <c r="AJ8698" s="5" t="s">
        <v>3628</v>
      </c>
      <c r="AK8698" s="5" t="s">
        <v>3625</v>
      </c>
    </row>
    <row r="8699" spans="35:37">
      <c r="AI8699" s="468">
        <v>51071</v>
      </c>
      <c r="AJ8699" s="5" t="s">
        <v>3617</v>
      </c>
      <c r="AK8699" s="5" t="s">
        <v>3627</v>
      </c>
    </row>
    <row r="8700" spans="35:37">
      <c r="AI8700" s="468">
        <v>51072</v>
      </c>
      <c r="AJ8700" s="5" t="s">
        <v>3619</v>
      </c>
      <c r="AK8700" s="5" t="s">
        <v>3618</v>
      </c>
    </row>
    <row r="8701" spans="35:37">
      <c r="AI8701" s="468">
        <v>51073</v>
      </c>
      <c r="AJ8701" s="5" t="s">
        <v>3621</v>
      </c>
      <c r="AK8701" s="5" t="s">
        <v>3620</v>
      </c>
    </row>
    <row r="8702" spans="35:37">
      <c r="AI8702" s="468">
        <v>51074</v>
      </c>
      <c r="AJ8702" s="5" t="s">
        <v>3579</v>
      </c>
      <c r="AK8702" s="5" t="s">
        <v>3622</v>
      </c>
    </row>
    <row r="8703" spans="35:37">
      <c r="AI8703" s="468">
        <v>51075</v>
      </c>
      <c r="AJ8703" s="5" t="s">
        <v>3624</v>
      </c>
      <c r="AK8703" s="5" t="s">
        <v>3623</v>
      </c>
    </row>
    <row r="8704" spans="35:37">
      <c r="AI8704" s="468">
        <v>51076</v>
      </c>
      <c r="AJ8704" s="5" t="s">
        <v>3626</v>
      </c>
      <c r="AK8704" s="5" t="s">
        <v>3625</v>
      </c>
    </row>
    <row r="8705" spans="35:37">
      <c r="AI8705" s="468">
        <v>51077</v>
      </c>
      <c r="AJ8705" s="5" t="s">
        <v>3628</v>
      </c>
      <c r="AK8705" s="5" t="s">
        <v>3627</v>
      </c>
    </row>
    <row r="8706" spans="35:37">
      <c r="AI8706" s="468">
        <v>51078</v>
      </c>
      <c r="AJ8706" s="5" t="s">
        <v>3617</v>
      </c>
      <c r="AK8706" s="5" t="s">
        <v>3618</v>
      </c>
    </row>
    <row r="8707" spans="35:37">
      <c r="AI8707" s="468">
        <v>51079</v>
      </c>
      <c r="AJ8707" s="5" t="s">
        <v>3619</v>
      </c>
      <c r="AK8707" s="5" t="s">
        <v>3620</v>
      </c>
    </row>
    <row r="8708" spans="35:37">
      <c r="AI8708" s="468">
        <v>51080</v>
      </c>
      <c r="AJ8708" s="5" t="s">
        <v>3621</v>
      </c>
      <c r="AK8708" s="5" t="s">
        <v>3622</v>
      </c>
    </row>
    <row r="8709" spans="35:37">
      <c r="AI8709" s="468">
        <v>51081</v>
      </c>
      <c r="AJ8709" s="5" t="s">
        <v>3579</v>
      </c>
      <c r="AK8709" s="5" t="s">
        <v>3623</v>
      </c>
    </row>
    <row r="8710" spans="35:37">
      <c r="AI8710" s="468">
        <v>51082</v>
      </c>
      <c r="AJ8710" s="5" t="s">
        <v>3624</v>
      </c>
      <c r="AK8710" s="5" t="s">
        <v>3625</v>
      </c>
    </row>
    <row r="8711" spans="35:37">
      <c r="AI8711" s="468">
        <v>51083</v>
      </c>
      <c r="AJ8711" s="5" t="s">
        <v>3626</v>
      </c>
      <c r="AK8711" s="5" t="s">
        <v>3627</v>
      </c>
    </row>
    <row r="8712" spans="35:37">
      <c r="AI8712" s="468">
        <v>51084</v>
      </c>
      <c r="AJ8712" s="5" t="s">
        <v>3628</v>
      </c>
      <c r="AK8712" s="5" t="s">
        <v>3618</v>
      </c>
    </row>
    <row r="8713" spans="35:37">
      <c r="AI8713" s="468">
        <v>51085</v>
      </c>
      <c r="AJ8713" s="5" t="s">
        <v>3617</v>
      </c>
      <c r="AK8713" s="5" t="s">
        <v>3620</v>
      </c>
    </row>
    <row r="8714" spans="35:37">
      <c r="AI8714" s="468">
        <v>51086</v>
      </c>
      <c r="AJ8714" s="5" t="s">
        <v>3619</v>
      </c>
      <c r="AK8714" s="5" t="s">
        <v>3622</v>
      </c>
    </row>
    <row r="8715" spans="35:37">
      <c r="AI8715" s="468">
        <v>51087</v>
      </c>
      <c r="AJ8715" s="5" t="s">
        <v>3621</v>
      </c>
      <c r="AK8715" s="5" t="s">
        <v>3623</v>
      </c>
    </row>
    <row r="8716" spans="35:37">
      <c r="AI8716" s="468">
        <v>51088</v>
      </c>
      <c r="AJ8716" s="5" t="s">
        <v>3579</v>
      </c>
      <c r="AK8716" s="5" t="s">
        <v>3625</v>
      </c>
    </row>
    <row r="8717" spans="35:37">
      <c r="AI8717" s="468">
        <v>51089</v>
      </c>
      <c r="AJ8717" s="5" t="s">
        <v>3624</v>
      </c>
      <c r="AK8717" s="5" t="s">
        <v>3627</v>
      </c>
    </row>
    <row r="8718" spans="35:37">
      <c r="AI8718" s="468">
        <v>51090</v>
      </c>
      <c r="AJ8718" s="5" t="s">
        <v>3626</v>
      </c>
      <c r="AK8718" s="5" t="s">
        <v>3622</v>
      </c>
    </row>
    <row r="8719" spans="35:37">
      <c r="AI8719" s="468">
        <v>51091</v>
      </c>
      <c r="AJ8719" s="5" t="s">
        <v>3628</v>
      </c>
      <c r="AK8719" s="5" t="s">
        <v>3623</v>
      </c>
    </row>
    <row r="8720" spans="35:37">
      <c r="AI8720" s="468">
        <v>51092</v>
      </c>
      <c r="AJ8720" s="5" t="s">
        <v>3617</v>
      </c>
      <c r="AK8720" s="5" t="s">
        <v>3625</v>
      </c>
    </row>
    <row r="8721" spans="35:37">
      <c r="AI8721" s="468">
        <v>51093</v>
      </c>
      <c r="AJ8721" s="5" t="s">
        <v>3619</v>
      </c>
      <c r="AK8721" s="5" t="s">
        <v>3627</v>
      </c>
    </row>
    <row r="8722" spans="35:37">
      <c r="AI8722" s="468">
        <v>51094</v>
      </c>
      <c r="AJ8722" s="5" t="s">
        <v>3621</v>
      </c>
      <c r="AK8722" s="5" t="s">
        <v>3618</v>
      </c>
    </row>
    <row r="8723" spans="35:37">
      <c r="AI8723" s="468">
        <v>51095</v>
      </c>
      <c r="AJ8723" s="5" t="s">
        <v>3579</v>
      </c>
      <c r="AK8723" s="5" t="s">
        <v>3620</v>
      </c>
    </row>
    <row r="8724" spans="35:37">
      <c r="AI8724" s="468">
        <v>51096</v>
      </c>
      <c r="AJ8724" s="5" t="s">
        <v>3624</v>
      </c>
      <c r="AK8724" s="5" t="s">
        <v>3622</v>
      </c>
    </row>
    <row r="8725" spans="35:37">
      <c r="AI8725" s="468">
        <v>51097</v>
      </c>
      <c r="AJ8725" s="5" t="s">
        <v>3626</v>
      </c>
      <c r="AK8725" s="5" t="s">
        <v>3623</v>
      </c>
    </row>
    <row r="8726" spans="35:37">
      <c r="AI8726" s="468">
        <v>51098</v>
      </c>
      <c r="AJ8726" s="5" t="s">
        <v>3628</v>
      </c>
      <c r="AK8726" s="5" t="s">
        <v>3625</v>
      </c>
    </row>
    <row r="8727" spans="35:37">
      <c r="AI8727" s="468">
        <v>51099</v>
      </c>
      <c r="AJ8727" s="5" t="s">
        <v>3617</v>
      </c>
      <c r="AK8727" s="5" t="s">
        <v>3627</v>
      </c>
    </row>
    <row r="8728" spans="35:37">
      <c r="AI8728" s="468">
        <v>51100</v>
      </c>
      <c r="AJ8728" s="5" t="s">
        <v>3619</v>
      </c>
      <c r="AK8728" s="5" t="s">
        <v>3618</v>
      </c>
    </row>
    <row r="8729" spans="35:37">
      <c r="AI8729" s="468">
        <v>51101</v>
      </c>
      <c r="AJ8729" s="5" t="s">
        <v>3621</v>
      </c>
      <c r="AK8729" s="5" t="s">
        <v>3620</v>
      </c>
    </row>
    <row r="8730" spans="35:37">
      <c r="AI8730" s="468">
        <v>51102</v>
      </c>
      <c r="AJ8730" s="5" t="s">
        <v>3579</v>
      </c>
      <c r="AK8730" s="5" t="s">
        <v>3622</v>
      </c>
    </row>
    <row r="8731" spans="35:37">
      <c r="AI8731" s="468">
        <v>51103</v>
      </c>
      <c r="AJ8731" s="5" t="s">
        <v>3624</v>
      </c>
      <c r="AK8731" s="5" t="s">
        <v>3623</v>
      </c>
    </row>
    <row r="8732" spans="35:37">
      <c r="AI8732" s="468">
        <v>51104</v>
      </c>
      <c r="AJ8732" s="5" t="s">
        <v>3626</v>
      </c>
      <c r="AK8732" s="5" t="s">
        <v>3625</v>
      </c>
    </row>
    <row r="8733" spans="35:37">
      <c r="AI8733" s="468">
        <v>51105</v>
      </c>
      <c r="AJ8733" s="5" t="s">
        <v>3628</v>
      </c>
      <c r="AK8733" s="5" t="s">
        <v>3627</v>
      </c>
    </row>
    <row r="8734" spans="35:37">
      <c r="AI8734" s="468">
        <v>51106</v>
      </c>
      <c r="AJ8734" s="5" t="s">
        <v>3617</v>
      </c>
      <c r="AK8734" s="5" t="s">
        <v>3618</v>
      </c>
    </row>
    <row r="8735" spans="35:37">
      <c r="AI8735" s="468">
        <v>51107</v>
      </c>
      <c r="AJ8735" s="5" t="s">
        <v>3619</v>
      </c>
      <c r="AK8735" s="5" t="s">
        <v>3620</v>
      </c>
    </row>
    <row r="8736" spans="35:37">
      <c r="AI8736" s="468">
        <v>51108</v>
      </c>
      <c r="AJ8736" s="5" t="s">
        <v>3621</v>
      </c>
      <c r="AK8736" s="5" t="s">
        <v>3622</v>
      </c>
    </row>
    <row r="8737" spans="35:37">
      <c r="AI8737" s="468">
        <v>51109</v>
      </c>
      <c r="AJ8737" s="5" t="s">
        <v>3579</v>
      </c>
      <c r="AK8737" s="5" t="s">
        <v>3623</v>
      </c>
    </row>
    <row r="8738" spans="35:37">
      <c r="AI8738" s="468">
        <v>51110</v>
      </c>
      <c r="AJ8738" s="5" t="s">
        <v>3624</v>
      </c>
      <c r="AK8738" s="5" t="s">
        <v>3625</v>
      </c>
    </row>
    <row r="8739" spans="35:37">
      <c r="AI8739" s="468">
        <v>51111</v>
      </c>
      <c r="AJ8739" s="5" t="s">
        <v>3626</v>
      </c>
      <c r="AK8739" s="5" t="s">
        <v>3627</v>
      </c>
    </row>
    <row r="8740" spans="35:37">
      <c r="AI8740" s="468">
        <v>51112</v>
      </c>
      <c r="AJ8740" s="5" t="s">
        <v>3628</v>
      </c>
      <c r="AK8740" s="5" t="s">
        <v>3618</v>
      </c>
    </row>
    <row r="8741" spans="35:37">
      <c r="AI8741" s="468">
        <v>51113</v>
      </c>
      <c r="AJ8741" s="5" t="s">
        <v>3617</v>
      </c>
      <c r="AK8741" s="5" t="s">
        <v>3620</v>
      </c>
    </row>
    <row r="8742" spans="35:37">
      <c r="AI8742" s="468">
        <v>51114</v>
      </c>
      <c r="AJ8742" s="5" t="s">
        <v>3619</v>
      </c>
      <c r="AK8742" s="5" t="s">
        <v>3622</v>
      </c>
    </row>
    <row r="8743" spans="35:37">
      <c r="AI8743" s="468">
        <v>51115</v>
      </c>
      <c r="AJ8743" s="5" t="s">
        <v>3621</v>
      </c>
      <c r="AK8743" s="5" t="s">
        <v>3623</v>
      </c>
    </row>
    <row r="8744" spans="35:37">
      <c r="AI8744" s="468">
        <v>51116</v>
      </c>
      <c r="AJ8744" s="5" t="s">
        <v>3579</v>
      </c>
      <c r="AK8744" s="5" t="s">
        <v>3625</v>
      </c>
    </row>
    <row r="8745" spans="35:37">
      <c r="AI8745" s="468">
        <v>51117</v>
      </c>
      <c r="AJ8745" s="5" t="s">
        <v>3624</v>
      </c>
      <c r="AK8745" s="5" t="s">
        <v>3627</v>
      </c>
    </row>
    <row r="8746" spans="35:37">
      <c r="AI8746" s="468">
        <v>51118</v>
      </c>
      <c r="AJ8746" s="5" t="s">
        <v>3626</v>
      </c>
      <c r="AK8746" s="5" t="s">
        <v>3618</v>
      </c>
    </row>
    <row r="8747" spans="35:37">
      <c r="AI8747" s="468">
        <v>51119</v>
      </c>
      <c r="AJ8747" s="5" t="s">
        <v>3628</v>
      </c>
      <c r="AK8747" s="5" t="s">
        <v>3620</v>
      </c>
    </row>
    <row r="8748" spans="35:37">
      <c r="AI8748" s="468">
        <v>51120</v>
      </c>
      <c r="AJ8748" s="5" t="s">
        <v>3617</v>
      </c>
      <c r="AK8748" s="5" t="s">
        <v>3623</v>
      </c>
    </row>
    <row r="8749" spans="35:37">
      <c r="AI8749" s="468">
        <v>51121</v>
      </c>
      <c r="AJ8749" s="5" t="s">
        <v>3619</v>
      </c>
      <c r="AK8749" s="5" t="s">
        <v>3625</v>
      </c>
    </row>
    <row r="8750" spans="35:37">
      <c r="AI8750" s="468">
        <v>51122</v>
      </c>
      <c r="AJ8750" s="5" t="s">
        <v>3621</v>
      </c>
      <c r="AK8750" s="5" t="s">
        <v>3627</v>
      </c>
    </row>
    <row r="8751" spans="35:37">
      <c r="AI8751" s="468">
        <v>51123</v>
      </c>
      <c r="AJ8751" s="5" t="s">
        <v>3579</v>
      </c>
      <c r="AK8751" s="5" t="s">
        <v>3618</v>
      </c>
    </row>
    <row r="8752" spans="35:37">
      <c r="AI8752" s="468">
        <v>51124</v>
      </c>
      <c r="AJ8752" s="5" t="s">
        <v>3624</v>
      </c>
      <c r="AK8752" s="5" t="s">
        <v>3620</v>
      </c>
    </row>
    <row r="8753" spans="35:37">
      <c r="AI8753" s="468">
        <v>51125</v>
      </c>
      <c r="AJ8753" s="5" t="s">
        <v>3626</v>
      </c>
      <c r="AK8753" s="5" t="s">
        <v>3622</v>
      </c>
    </row>
    <row r="8754" spans="35:37">
      <c r="AI8754" s="468">
        <v>51126</v>
      </c>
      <c r="AJ8754" s="5" t="s">
        <v>3628</v>
      </c>
      <c r="AK8754" s="5" t="s">
        <v>3623</v>
      </c>
    </row>
    <row r="8755" spans="35:37">
      <c r="AI8755" s="468">
        <v>51127</v>
      </c>
      <c r="AJ8755" s="5" t="s">
        <v>3617</v>
      </c>
      <c r="AK8755" s="5" t="s">
        <v>3625</v>
      </c>
    </row>
    <row r="8756" spans="35:37">
      <c r="AI8756" s="468">
        <v>51128</v>
      </c>
      <c r="AJ8756" s="5" t="s">
        <v>3619</v>
      </c>
      <c r="AK8756" s="5" t="s">
        <v>3627</v>
      </c>
    </row>
    <row r="8757" spans="35:37">
      <c r="AI8757" s="468">
        <v>51129</v>
      </c>
      <c r="AJ8757" s="5" t="s">
        <v>3621</v>
      </c>
      <c r="AK8757" s="5" t="s">
        <v>3618</v>
      </c>
    </row>
    <row r="8758" spans="35:37">
      <c r="AI8758" s="468">
        <v>51130</v>
      </c>
      <c r="AJ8758" s="5" t="s">
        <v>3579</v>
      </c>
      <c r="AK8758" s="5" t="s">
        <v>3620</v>
      </c>
    </row>
    <row r="8759" spans="35:37">
      <c r="AI8759" s="468">
        <v>51131</v>
      </c>
      <c r="AJ8759" s="5" t="s">
        <v>3624</v>
      </c>
      <c r="AK8759" s="5" t="s">
        <v>3622</v>
      </c>
    </row>
    <row r="8760" spans="35:37">
      <c r="AI8760" s="468">
        <v>51132</v>
      </c>
      <c r="AJ8760" s="5" t="s">
        <v>3626</v>
      </c>
      <c r="AK8760" s="5" t="s">
        <v>3623</v>
      </c>
    </row>
    <row r="8761" spans="35:37">
      <c r="AI8761" s="468">
        <v>51133</v>
      </c>
      <c r="AJ8761" s="5" t="s">
        <v>3628</v>
      </c>
      <c r="AK8761" s="5" t="s">
        <v>3625</v>
      </c>
    </row>
    <row r="8762" spans="35:37">
      <c r="AI8762" s="468">
        <v>51134</v>
      </c>
      <c r="AJ8762" s="5" t="s">
        <v>3617</v>
      </c>
      <c r="AK8762" s="5" t="s">
        <v>3627</v>
      </c>
    </row>
    <row r="8763" spans="35:37">
      <c r="AI8763" s="468">
        <v>51135</v>
      </c>
      <c r="AJ8763" s="5" t="s">
        <v>3619</v>
      </c>
      <c r="AK8763" s="5" t="s">
        <v>3618</v>
      </c>
    </row>
    <row r="8764" spans="35:37">
      <c r="AI8764" s="468">
        <v>51136</v>
      </c>
      <c r="AJ8764" s="5" t="s">
        <v>3621</v>
      </c>
      <c r="AK8764" s="5" t="s">
        <v>3620</v>
      </c>
    </row>
    <row r="8765" spans="35:37">
      <c r="AI8765" s="468">
        <v>51137</v>
      </c>
      <c r="AJ8765" s="5" t="s">
        <v>3579</v>
      </c>
      <c r="AK8765" s="5" t="s">
        <v>3622</v>
      </c>
    </row>
    <row r="8766" spans="35:37">
      <c r="AI8766" s="468">
        <v>51138</v>
      </c>
      <c r="AJ8766" s="5" t="s">
        <v>3624</v>
      </c>
      <c r="AK8766" s="5" t="s">
        <v>3623</v>
      </c>
    </row>
    <row r="8767" spans="35:37">
      <c r="AI8767" s="468">
        <v>51139</v>
      </c>
      <c r="AJ8767" s="5" t="s">
        <v>3626</v>
      </c>
      <c r="AK8767" s="5" t="s">
        <v>3625</v>
      </c>
    </row>
    <row r="8768" spans="35:37">
      <c r="AI8768" s="468">
        <v>51140</v>
      </c>
      <c r="AJ8768" s="5" t="s">
        <v>3628</v>
      </c>
      <c r="AK8768" s="5" t="s">
        <v>3627</v>
      </c>
    </row>
    <row r="8769" spans="35:37">
      <c r="AI8769" s="468">
        <v>51141</v>
      </c>
      <c r="AJ8769" s="5" t="s">
        <v>3617</v>
      </c>
      <c r="AK8769" s="5" t="s">
        <v>3618</v>
      </c>
    </row>
    <row r="8770" spans="35:37">
      <c r="AI8770" s="468">
        <v>51142</v>
      </c>
      <c r="AJ8770" s="5" t="s">
        <v>3619</v>
      </c>
      <c r="AK8770" s="5" t="s">
        <v>3620</v>
      </c>
    </row>
    <row r="8771" spans="35:37">
      <c r="AI8771" s="468">
        <v>51143</v>
      </c>
      <c r="AJ8771" s="5" t="s">
        <v>3621</v>
      </c>
      <c r="AK8771" s="5" t="s">
        <v>3622</v>
      </c>
    </row>
    <row r="8772" spans="35:37">
      <c r="AI8772" s="468">
        <v>51144</v>
      </c>
      <c r="AJ8772" s="5" t="s">
        <v>3579</v>
      </c>
      <c r="AK8772" s="5" t="s">
        <v>3623</v>
      </c>
    </row>
    <row r="8773" spans="35:37">
      <c r="AI8773" s="468">
        <v>51145</v>
      </c>
      <c r="AJ8773" s="5" t="s">
        <v>3624</v>
      </c>
      <c r="AK8773" s="5" t="s">
        <v>3625</v>
      </c>
    </row>
    <row r="8774" spans="35:37">
      <c r="AI8774" s="468">
        <v>51146</v>
      </c>
      <c r="AJ8774" s="5" t="s">
        <v>3626</v>
      </c>
      <c r="AK8774" s="5" t="s">
        <v>3627</v>
      </c>
    </row>
    <row r="8775" spans="35:37">
      <c r="AI8775" s="468">
        <v>51147</v>
      </c>
      <c r="AJ8775" s="5" t="s">
        <v>3628</v>
      </c>
      <c r="AK8775" s="5" t="s">
        <v>3618</v>
      </c>
    </row>
    <row r="8776" spans="35:37">
      <c r="AI8776" s="468">
        <v>51148</v>
      </c>
      <c r="AJ8776" s="5" t="s">
        <v>3617</v>
      </c>
      <c r="AK8776" s="5" t="s">
        <v>3620</v>
      </c>
    </row>
    <row r="8777" spans="35:37">
      <c r="AI8777" s="468">
        <v>51149</v>
      </c>
      <c r="AJ8777" s="5" t="s">
        <v>3619</v>
      </c>
      <c r="AK8777" s="5" t="s">
        <v>3625</v>
      </c>
    </row>
    <row r="8778" spans="35:37">
      <c r="AI8778" s="468">
        <v>51150</v>
      </c>
      <c r="AJ8778" s="5" t="s">
        <v>3621</v>
      </c>
      <c r="AK8778" s="5" t="s">
        <v>3627</v>
      </c>
    </row>
    <row r="8779" spans="35:37">
      <c r="AI8779" s="468">
        <v>51151</v>
      </c>
      <c r="AJ8779" s="5" t="s">
        <v>3579</v>
      </c>
      <c r="AK8779" s="5" t="s">
        <v>3618</v>
      </c>
    </row>
    <row r="8780" spans="35:37">
      <c r="AI8780" s="468">
        <v>51152</v>
      </c>
      <c r="AJ8780" s="5" t="s">
        <v>3624</v>
      </c>
      <c r="AK8780" s="5" t="s">
        <v>3620</v>
      </c>
    </row>
    <row r="8781" spans="35:37">
      <c r="AI8781" s="468">
        <v>51153</v>
      </c>
      <c r="AJ8781" s="5" t="s">
        <v>3626</v>
      </c>
      <c r="AK8781" s="5" t="s">
        <v>3622</v>
      </c>
    </row>
    <row r="8782" spans="35:37">
      <c r="AI8782" s="468">
        <v>51154</v>
      </c>
      <c r="AJ8782" s="5" t="s">
        <v>3628</v>
      </c>
      <c r="AK8782" s="5" t="s">
        <v>3623</v>
      </c>
    </row>
    <row r="8783" spans="35:37">
      <c r="AI8783" s="468">
        <v>51155</v>
      </c>
      <c r="AJ8783" s="5" t="s">
        <v>3617</v>
      </c>
      <c r="AK8783" s="5" t="s">
        <v>3625</v>
      </c>
    </row>
    <row r="8784" spans="35:37">
      <c r="AI8784" s="468">
        <v>51156</v>
      </c>
      <c r="AJ8784" s="5" t="s">
        <v>3619</v>
      </c>
      <c r="AK8784" s="5" t="s">
        <v>3627</v>
      </c>
    </row>
    <row r="8785" spans="35:37">
      <c r="AI8785" s="468">
        <v>51157</v>
      </c>
      <c r="AJ8785" s="5" t="s">
        <v>3621</v>
      </c>
      <c r="AK8785" s="5" t="s">
        <v>3618</v>
      </c>
    </row>
    <row r="8786" spans="35:37">
      <c r="AI8786" s="468">
        <v>51158</v>
      </c>
      <c r="AJ8786" s="5" t="s">
        <v>3579</v>
      </c>
      <c r="AK8786" s="5" t="s">
        <v>3620</v>
      </c>
    </row>
    <row r="8787" spans="35:37">
      <c r="AI8787" s="468">
        <v>51159</v>
      </c>
      <c r="AJ8787" s="5" t="s">
        <v>3624</v>
      </c>
      <c r="AK8787" s="5" t="s">
        <v>3622</v>
      </c>
    </row>
    <row r="8788" spans="35:37">
      <c r="AI8788" s="468">
        <v>51160</v>
      </c>
      <c r="AJ8788" s="5" t="s">
        <v>3626</v>
      </c>
      <c r="AK8788" s="5" t="s">
        <v>3623</v>
      </c>
    </row>
    <row r="8789" spans="35:37">
      <c r="AI8789" s="468">
        <v>51161</v>
      </c>
      <c r="AJ8789" s="5" t="s">
        <v>3628</v>
      </c>
      <c r="AK8789" s="5" t="s">
        <v>3625</v>
      </c>
    </row>
    <row r="8790" spans="35:37">
      <c r="AI8790" s="468">
        <v>51162</v>
      </c>
      <c r="AJ8790" s="5" t="s">
        <v>3617</v>
      </c>
      <c r="AK8790" s="5" t="s">
        <v>3627</v>
      </c>
    </row>
    <row r="8791" spans="35:37">
      <c r="AI8791" s="468">
        <v>51163</v>
      </c>
      <c r="AJ8791" s="5" t="s">
        <v>3619</v>
      </c>
      <c r="AK8791" s="5" t="s">
        <v>3618</v>
      </c>
    </row>
    <row r="8792" spans="35:37">
      <c r="AI8792" s="468">
        <v>51164</v>
      </c>
      <c r="AJ8792" s="5" t="s">
        <v>3621</v>
      </c>
      <c r="AK8792" s="5" t="s">
        <v>3620</v>
      </c>
    </row>
    <row r="8793" spans="35:37">
      <c r="AI8793" s="468">
        <v>51165</v>
      </c>
      <c r="AJ8793" s="5" t="s">
        <v>3579</v>
      </c>
      <c r="AK8793" s="5" t="s">
        <v>3622</v>
      </c>
    </row>
    <row r="8794" spans="35:37">
      <c r="AI8794" s="468">
        <v>51166</v>
      </c>
      <c r="AJ8794" s="5" t="s">
        <v>3624</v>
      </c>
      <c r="AK8794" s="5" t="s">
        <v>3623</v>
      </c>
    </row>
    <row r="8795" spans="35:37">
      <c r="AI8795" s="468">
        <v>51167</v>
      </c>
      <c r="AJ8795" s="5" t="s">
        <v>3626</v>
      </c>
      <c r="AK8795" s="5" t="s">
        <v>3625</v>
      </c>
    </row>
    <row r="8796" spans="35:37">
      <c r="AI8796" s="468">
        <v>51168</v>
      </c>
      <c r="AJ8796" s="5" t="s">
        <v>3628</v>
      </c>
      <c r="AK8796" s="5" t="s">
        <v>3627</v>
      </c>
    </row>
    <row r="8797" spans="35:37">
      <c r="AI8797" s="468">
        <v>51169</v>
      </c>
      <c r="AJ8797" s="5" t="s">
        <v>3617</v>
      </c>
      <c r="AK8797" s="5" t="s">
        <v>3618</v>
      </c>
    </row>
    <row r="8798" spans="35:37">
      <c r="AI8798" s="468">
        <v>51170</v>
      </c>
      <c r="AJ8798" s="5" t="s">
        <v>3619</v>
      </c>
      <c r="AK8798" s="5" t="s">
        <v>3620</v>
      </c>
    </row>
    <row r="8799" spans="35:37">
      <c r="AI8799" s="468">
        <v>51171</v>
      </c>
      <c r="AJ8799" s="5" t="s">
        <v>3621</v>
      </c>
      <c r="AK8799" s="5" t="s">
        <v>3622</v>
      </c>
    </row>
    <row r="8800" spans="35:37">
      <c r="AI8800" s="468">
        <v>51172</v>
      </c>
      <c r="AJ8800" s="5" t="s">
        <v>3579</v>
      </c>
      <c r="AK8800" s="5" t="s">
        <v>3623</v>
      </c>
    </row>
    <row r="8801" spans="35:37">
      <c r="AI8801" s="468">
        <v>51173</v>
      </c>
      <c r="AJ8801" s="5" t="s">
        <v>3624</v>
      </c>
      <c r="AK8801" s="5" t="s">
        <v>3625</v>
      </c>
    </row>
    <row r="8802" spans="35:37">
      <c r="AI8802" s="468">
        <v>51174</v>
      </c>
      <c r="AJ8802" s="5" t="s">
        <v>3626</v>
      </c>
      <c r="AK8802" s="5" t="s">
        <v>3627</v>
      </c>
    </row>
    <row r="8803" spans="35:37">
      <c r="AI8803" s="468">
        <v>51175</v>
      </c>
      <c r="AJ8803" s="5" t="s">
        <v>3628</v>
      </c>
      <c r="AK8803" s="5" t="s">
        <v>3618</v>
      </c>
    </row>
    <row r="8804" spans="35:37">
      <c r="AI8804" s="468">
        <v>51176</v>
      </c>
      <c r="AJ8804" s="5" t="s">
        <v>3617</v>
      </c>
      <c r="AK8804" s="5" t="s">
        <v>3620</v>
      </c>
    </row>
    <row r="8805" spans="35:37">
      <c r="AI8805" s="468">
        <v>51177</v>
      </c>
      <c r="AJ8805" s="5" t="s">
        <v>3619</v>
      </c>
      <c r="AK8805" s="5" t="s">
        <v>3622</v>
      </c>
    </row>
    <row r="8806" spans="35:37">
      <c r="AI8806" s="468">
        <v>51178</v>
      </c>
      <c r="AJ8806" s="5" t="s">
        <v>3621</v>
      </c>
      <c r="AK8806" s="5" t="s">
        <v>3627</v>
      </c>
    </row>
    <row r="8807" spans="35:37">
      <c r="AI8807" s="468">
        <v>51179</v>
      </c>
      <c r="AJ8807" s="5" t="s">
        <v>3579</v>
      </c>
      <c r="AK8807" s="5" t="s">
        <v>3618</v>
      </c>
    </row>
    <row r="8808" spans="35:37">
      <c r="AI8808" s="468">
        <v>51180</v>
      </c>
      <c r="AJ8808" s="5" t="s">
        <v>3624</v>
      </c>
      <c r="AK8808" s="5" t="s">
        <v>3620</v>
      </c>
    </row>
    <row r="8809" spans="35:37">
      <c r="AI8809" s="468">
        <v>51181</v>
      </c>
      <c r="AJ8809" s="5" t="s">
        <v>3626</v>
      </c>
      <c r="AK8809" s="5" t="s">
        <v>3622</v>
      </c>
    </row>
    <row r="8810" spans="35:37">
      <c r="AI8810" s="468">
        <v>51182</v>
      </c>
      <c r="AJ8810" s="5" t="s">
        <v>3628</v>
      </c>
      <c r="AK8810" s="5" t="s">
        <v>3623</v>
      </c>
    </row>
    <row r="8811" spans="35:37">
      <c r="AI8811" s="468">
        <v>51183</v>
      </c>
      <c r="AJ8811" s="5" t="s">
        <v>3617</v>
      </c>
      <c r="AK8811" s="5" t="s">
        <v>3625</v>
      </c>
    </row>
    <row r="8812" spans="35:37">
      <c r="AI8812" s="468">
        <v>51184</v>
      </c>
      <c r="AJ8812" s="5" t="s">
        <v>3619</v>
      </c>
      <c r="AK8812" s="5" t="s">
        <v>3627</v>
      </c>
    </row>
    <row r="8813" spans="35:37">
      <c r="AI8813" s="468">
        <v>51185</v>
      </c>
      <c r="AJ8813" s="5" t="s">
        <v>3621</v>
      </c>
      <c r="AK8813" s="5" t="s">
        <v>3618</v>
      </c>
    </row>
    <row r="8814" spans="35:37">
      <c r="AI8814" s="468">
        <v>51186</v>
      </c>
      <c r="AJ8814" s="5" t="s">
        <v>3579</v>
      </c>
      <c r="AK8814" s="5" t="s">
        <v>3620</v>
      </c>
    </row>
    <row r="8815" spans="35:37">
      <c r="AI8815" s="468">
        <v>51187</v>
      </c>
      <c r="AJ8815" s="5" t="s">
        <v>3624</v>
      </c>
      <c r="AK8815" s="5" t="s">
        <v>3622</v>
      </c>
    </row>
    <row r="8816" spans="35:37">
      <c r="AI8816" s="468">
        <v>51188</v>
      </c>
      <c r="AJ8816" s="5" t="s">
        <v>3626</v>
      </c>
      <c r="AK8816" s="5" t="s">
        <v>3623</v>
      </c>
    </row>
    <row r="8817" spans="35:37">
      <c r="AI8817" s="468">
        <v>51189</v>
      </c>
      <c r="AJ8817" s="5" t="s">
        <v>3628</v>
      </c>
      <c r="AK8817" s="5" t="s">
        <v>3625</v>
      </c>
    </row>
    <row r="8818" spans="35:37">
      <c r="AI8818" s="468">
        <v>51190</v>
      </c>
      <c r="AJ8818" s="5" t="s">
        <v>3617</v>
      </c>
      <c r="AK8818" s="5" t="s">
        <v>3627</v>
      </c>
    </row>
    <row r="8819" spans="35:37">
      <c r="AI8819" s="468">
        <v>51191</v>
      </c>
      <c r="AJ8819" s="5" t="s">
        <v>3619</v>
      </c>
      <c r="AK8819" s="5" t="s">
        <v>3618</v>
      </c>
    </row>
    <row r="8820" spans="35:37">
      <c r="AI8820" s="468">
        <v>51192</v>
      </c>
      <c r="AJ8820" s="5" t="s">
        <v>3621</v>
      </c>
      <c r="AK8820" s="5" t="s">
        <v>3620</v>
      </c>
    </row>
    <row r="8821" spans="35:37">
      <c r="AI8821" s="468">
        <v>51193</v>
      </c>
      <c r="AJ8821" s="5" t="s">
        <v>3579</v>
      </c>
      <c r="AK8821" s="5" t="s">
        <v>3622</v>
      </c>
    </row>
    <row r="8822" spans="35:37">
      <c r="AI8822" s="468">
        <v>51194</v>
      </c>
      <c r="AJ8822" s="5" t="s">
        <v>3624</v>
      </c>
      <c r="AK8822" s="5" t="s">
        <v>3623</v>
      </c>
    </row>
    <row r="8823" spans="35:37">
      <c r="AI8823" s="468">
        <v>51195</v>
      </c>
      <c r="AJ8823" s="5" t="s">
        <v>3626</v>
      </c>
      <c r="AK8823" s="5" t="s">
        <v>3625</v>
      </c>
    </row>
    <row r="8824" spans="35:37">
      <c r="AI8824" s="468">
        <v>51196</v>
      </c>
      <c r="AJ8824" s="5" t="s">
        <v>3628</v>
      </c>
      <c r="AK8824" s="5" t="s">
        <v>3627</v>
      </c>
    </row>
    <row r="8825" spans="35:37">
      <c r="AI8825" s="468">
        <v>51197</v>
      </c>
      <c r="AJ8825" s="5" t="s">
        <v>3617</v>
      </c>
      <c r="AK8825" s="5" t="s">
        <v>3618</v>
      </c>
    </row>
    <row r="8826" spans="35:37">
      <c r="AI8826" s="468">
        <v>51198</v>
      </c>
      <c r="AJ8826" s="5" t="s">
        <v>3619</v>
      </c>
      <c r="AK8826" s="5" t="s">
        <v>3620</v>
      </c>
    </row>
    <row r="8827" spans="35:37">
      <c r="AI8827" s="468">
        <v>51199</v>
      </c>
      <c r="AJ8827" s="5" t="s">
        <v>3621</v>
      </c>
      <c r="AK8827" s="5" t="s">
        <v>3622</v>
      </c>
    </row>
    <row r="8828" spans="35:37">
      <c r="AI8828" s="468">
        <v>51200</v>
      </c>
      <c r="AJ8828" s="5" t="s">
        <v>3579</v>
      </c>
      <c r="AK8828" s="5" t="s">
        <v>3623</v>
      </c>
    </row>
    <row r="8829" spans="35:37">
      <c r="AI8829" s="468">
        <v>51201</v>
      </c>
      <c r="AJ8829" s="5" t="s">
        <v>3624</v>
      </c>
      <c r="AK8829" s="5" t="s">
        <v>3625</v>
      </c>
    </row>
    <row r="8830" spans="35:37">
      <c r="AI8830" s="468">
        <v>51202</v>
      </c>
      <c r="AJ8830" s="5" t="s">
        <v>3626</v>
      </c>
      <c r="AK8830" s="5" t="s">
        <v>3627</v>
      </c>
    </row>
    <row r="8831" spans="35:37">
      <c r="AI8831" s="468">
        <v>51203</v>
      </c>
      <c r="AJ8831" s="5" t="s">
        <v>3628</v>
      </c>
      <c r="AK8831" s="5" t="s">
        <v>3618</v>
      </c>
    </row>
    <row r="8832" spans="35:37">
      <c r="AI8832" s="468">
        <v>51204</v>
      </c>
      <c r="AJ8832" s="5" t="s">
        <v>3617</v>
      </c>
      <c r="AK8832" s="5" t="s">
        <v>3620</v>
      </c>
    </row>
    <row r="8833" spans="35:37">
      <c r="AI8833" s="468">
        <v>51205</v>
      </c>
      <c r="AJ8833" s="5" t="s">
        <v>3619</v>
      </c>
      <c r="AK8833" s="5" t="s">
        <v>3622</v>
      </c>
    </row>
    <row r="8834" spans="35:37">
      <c r="AI8834" s="468">
        <v>51206</v>
      </c>
      <c r="AJ8834" s="5" t="s">
        <v>3621</v>
      </c>
      <c r="AK8834" s="5" t="s">
        <v>3623</v>
      </c>
    </row>
    <row r="8835" spans="35:37">
      <c r="AI8835" s="468">
        <v>51207</v>
      </c>
      <c r="AJ8835" s="5" t="s">
        <v>3579</v>
      </c>
      <c r="AK8835" s="5" t="s">
        <v>3625</v>
      </c>
    </row>
    <row r="8836" spans="35:37">
      <c r="AI8836" s="468">
        <v>51208</v>
      </c>
      <c r="AJ8836" s="5" t="s">
        <v>3624</v>
      </c>
      <c r="AK8836" s="5" t="s">
        <v>3618</v>
      </c>
    </row>
    <row r="8837" spans="35:37">
      <c r="AI8837" s="468">
        <v>51209</v>
      </c>
      <c r="AJ8837" s="5" t="s">
        <v>3626</v>
      </c>
      <c r="AK8837" s="5" t="s">
        <v>3620</v>
      </c>
    </row>
    <row r="8838" spans="35:37">
      <c r="AI8838" s="468">
        <v>51210</v>
      </c>
      <c r="AJ8838" s="5" t="s">
        <v>3628</v>
      </c>
      <c r="AK8838" s="5" t="s">
        <v>3622</v>
      </c>
    </row>
    <row r="8839" spans="35:37">
      <c r="AI8839" s="468">
        <v>51211</v>
      </c>
      <c r="AJ8839" s="5" t="s">
        <v>3617</v>
      </c>
      <c r="AK8839" s="5" t="s">
        <v>3623</v>
      </c>
    </row>
    <row r="8840" spans="35:37">
      <c r="AI8840" s="468">
        <v>51212</v>
      </c>
      <c r="AJ8840" s="5" t="s">
        <v>3619</v>
      </c>
      <c r="AK8840" s="5" t="s">
        <v>3625</v>
      </c>
    </row>
    <row r="8841" spans="35:37">
      <c r="AI8841" s="468">
        <v>51213</v>
      </c>
      <c r="AJ8841" s="5" t="s">
        <v>3621</v>
      </c>
      <c r="AK8841" s="5" t="s">
        <v>3627</v>
      </c>
    </row>
    <row r="8842" spans="35:37">
      <c r="AI8842" s="468">
        <v>51214</v>
      </c>
      <c r="AJ8842" s="5" t="s">
        <v>3579</v>
      </c>
      <c r="AK8842" s="5" t="s">
        <v>3618</v>
      </c>
    </row>
    <row r="8843" spans="35:37">
      <c r="AI8843" s="468">
        <v>51215</v>
      </c>
      <c r="AJ8843" s="5" t="s">
        <v>3624</v>
      </c>
      <c r="AK8843" s="5" t="s">
        <v>3620</v>
      </c>
    </row>
    <row r="8844" spans="35:37">
      <c r="AI8844" s="468">
        <v>51216</v>
      </c>
      <c r="AJ8844" s="5" t="s">
        <v>3626</v>
      </c>
      <c r="AK8844" s="5" t="s">
        <v>3622</v>
      </c>
    </row>
    <row r="8845" spans="35:37">
      <c r="AI8845" s="468">
        <v>51217</v>
      </c>
      <c r="AJ8845" s="5" t="s">
        <v>3628</v>
      </c>
      <c r="AK8845" s="5" t="s">
        <v>3623</v>
      </c>
    </row>
    <row r="8846" spans="35:37">
      <c r="AI8846" s="468">
        <v>51218</v>
      </c>
      <c r="AJ8846" s="5" t="s">
        <v>3617</v>
      </c>
      <c r="AK8846" s="5" t="s">
        <v>3625</v>
      </c>
    </row>
    <row r="8847" spans="35:37">
      <c r="AI8847" s="468">
        <v>51219</v>
      </c>
      <c r="AJ8847" s="5" t="s">
        <v>3619</v>
      </c>
      <c r="AK8847" s="5" t="s">
        <v>3627</v>
      </c>
    </row>
    <row r="8848" spans="35:37">
      <c r="AI8848" s="468">
        <v>51220</v>
      </c>
      <c r="AJ8848" s="5" t="s">
        <v>3621</v>
      </c>
      <c r="AK8848" s="5" t="s">
        <v>3618</v>
      </c>
    </row>
    <row r="8849" spans="35:37">
      <c r="AI8849" s="468">
        <v>51221</v>
      </c>
      <c r="AJ8849" s="5" t="s">
        <v>3579</v>
      </c>
      <c r="AK8849" s="5" t="s">
        <v>3620</v>
      </c>
    </row>
    <row r="8850" spans="35:37">
      <c r="AI8850" s="468">
        <v>51222</v>
      </c>
      <c r="AJ8850" s="5" t="s">
        <v>3624</v>
      </c>
      <c r="AK8850" s="5" t="s">
        <v>3622</v>
      </c>
    </row>
    <row r="8851" spans="35:37">
      <c r="AI8851" s="468">
        <v>51223</v>
      </c>
      <c r="AJ8851" s="5" t="s">
        <v>3626</v>
      </c>
      <c r="AK8851" s="5" t="s">
        <v>3623</v>
      </c>
    </row>
    <row r="8852" spans="35:37">
      <c r="AI8852" s="468">
        <v>51224</v>
      </c>
      <c r="AJ8852" s="5" t="s">
        <v>3628</v>
      </c>
      <c r="AK8852" s="5" t="s">
        <v>3625</v>
      </c>
    </row>
    <row r="8853" spans="35:37">
      <c r="AI8853" s="468">
        <v>51225</v>
      </c>
      <c r="AJ8853" s="5" t="s">
        <v>3617</v>
      </c>
      <c r="AK8853" s="5" t="s">
        <v>3627</v>
      </c>
    </row>
    <row r="8854" spans="35:37">
      <c r="AI8854" s="468">
        <v>51226</v>
      </c>
      <c r="AJ8854" s="5" t="s">
        <v>3619</v>
      </c>
      <c r="AK8854" s="5" t="s">
        <v>3618</v>
      </c>
    </row>
    <row r="8855" spans="35:37">
      <c r="AI8855" s="468">
        <v>51227</v>
      </c>
      <c r="AJ8855" s="5" t="s">
        <v>3621</v>
      </c>
      <c r="AK8855" s="5" t="s">
        <v>3620</v>
      </c>
    </row>
    <row r="8856" spans="35:37">
      <c r="AI8856" s="468">
        <v>51228</v>
      </c>
      <c r="AJ8856" s="5" t="s">
        <v>3579</v>
      </c>
      <c r="AK8856" s="5" t="s">
        <v>3622</v>
      </c>
    </row>
    <row r="8857" spans="35:37">
      <c r="AI8857" s="468">
        <v>51229</v>
      </c>
      <c r="AJ8857" s="5" t="s">
        <v>3624</v>
      </c>
      <c r="AK8857" s="5" t="s">
        <v>3623</v>
      </c>
    </row>
    <row r="8858" spans="35:37">
      <c r="AI8858" s="468">
        <v>51230</v>
      </c>
      <c r="AJ8858" s="5" t="s">
        <v>3626</v>
      </c>
      <c r="AK8858" s="5" t="s">
        <v>3625</v>
      </c>
    </row>
    <row r="8859" spans="35:37">
      <c r="AI8859" s="468">
        <v>51231</v>
      </c>
      <c r="AJ8859" s="5" t="s">
        <v>3628</v>
      </c>
      <c r="AK8859" s="5" t="s">
        <v>3627</v>
      </c>
    </row>
    <row r="8860" spans="35:37">
      <c r="AI8860" s="468">
        <v>51232</v>
      </c>
      <c r="AJ8860" s="5" t="s">
        <v>3617</v>
      </c>
      <c r="AK8860" s="5" t="s">
        <v>3618</v>
      </c>
    </row>
    <row r="8861" spans="35:37">
      <c r="AI8861" s="468">
        <v>51233</v>
      </c>
      <c r="AJ8861" s="5" t="s">
        <v>3619</v>
      </c>
      <c r="AK8861" s="5" t="s">
        <v>3620</v>
      </c>
    </row>
    <row r="8862" spans="35:37">
      <c r="AI8862" s="468">
        <v>51234</v>
      </c>
      <c r="AJ8862" s="5" t="s">
        <v>3621</v>
      </c>
      <c r="AK8862" s="5" t="s">
        <v>3622</v>
      </c>
    </row>
    <row r="8863" spans="35:37">
      <c r="AI8863" s="468">
        <v>51235</v>
      </c>
      <c r="AJ8863" s="5" t="s">
        <v>3579</v>
      </c>
      <c r="AK8863" s="5" t="s">
        <v>3623</v>
      </c>
    </row>
    <row r="8864" spans="35:37">
      <c r="AI8864" s="468">
        <v>51236</v>
      </c>
      <c r="AJ8864" s="5" t="s">
        <v>3624</v>
      </c>
      <c r="AK8864" s="5" t="s">
        <v>3625</v>
      </c>
    </row>
    <row r="8865" spans="35:37">
      <c r="AI8865" s="468">
        <v>51237</v>
      </c>
      <c r="AJ8865" s="5" t="s">
        <v>3626</v>
      </c>
      <c r="AK8865" s="5" t="s">
        <v>3620</v>
      </c>
    </row>
    <row r="8866" spans="35:37">
      <c r="AI8866" s="468">
        <v>51238</v>
      </c>
      <c r="AJ8866" s="5" t="s">
        <v>3628</v>
      </c>
      <c r="AK8866" s="5" t="s">
        <v>3622</v>
      </c>
    </row>
    <row r="8867" spans="35:37">
      <c r="AI8867" s="468">
        <v>51239</v>
      </c>
      <c r="AJ8867" s="5" t="s">
        <v>3617</v>
      </c>
      <c r="AK8867" s="5" t="s">
        <v>3623</v>
      </c>
    </row>
    <row r="8868" spans="35:37">
      <c r="AI8868" s="468">
        <v>51240</v>
      </c>
      <c r="AJ8868" s="5" t="s">
        <v>3619</v>
      </c>
      <c r="AK8868" s="5" t="s">
        <v>3625</v>
      </c>
    </row>
    <row r="8869" spans="35:37">
      <c r="AI8869" s="468">
        <v>51241</v>
      </c>
      <c r="AJ8869" s="5" t="s">
        <v>3621</v>
      </c>
      <c r="AK8869" s="5" t="s">
        <v>3627</v>
      </c>
    </row>
    <row r="8870" spans="35:37">
      <c r="AI8870" s="468">
        <v>51242</v>
      </c>
      <c r="AJ8870" s="5" t="s">
        <v>3579</v>
      </c>
      <c r="AK8870" s="5" t="s">
        <v>3618</v>
      </c>
    </row>
    <row r="8871" spans="35:37">
      <c r="AI8871" s="468">
        <v>51243</v>
      </c>
      <c r="AJ8871" s="5" t="s">
        <v>3624</v>
      </c>
      <c r="AK8871" s="5" t="s">
        <v>3620</v>
      </c>
    </row>
    <row r="8872" spans="35:37">
      <c r="AI8872" s="468">
        <v>51244</v>
      </c>
      <c r="AJ8872" s="5" t="s">
        <v>3626</v>
      </c>
      <c r="AK8872" s="5" t="s">
        <v>3622</v>
      </c>
    </row>
    <row r="8873" spans="35:37">
      <c r="AI8873" s="468">
        <v>51245</v>
      </c>
      <c r="AJ8873" s="5" t="s">
        <v>3628</v>
      </c>
      <c r="AK8873" s="5" t="s">
        <v>3623</v>
      </c>
    </row>
    <row r="8874" spans="35:37">
      <c r="AI8874" s="468">
        <v>51246</v>
      </c>
      <c r="AJ8874" s="5" t="s">
        <v>3617</v>
      </c>
      <c r="AK8874" s="5" t="s">
        <v>3625</v>
      </c>
    </row>
    <row r="8875" spans="35:37">
      <c r="AI8875" s="468">
        <v>51247</v>
      </c>
      <c r="AJ8875" s="5" t="s">
        <v>3619</v>
      </c>
      <c r="AK8875" s="5" t="s">
        <v>3627</v>
      </c>
    </row>
    <row r="8876" spans="35:37">
      <c r="AI8876" s="468">
        <v>51248</v>
      </c>
      <c r="AJ8876" s="5" t="s">
        <v>3621</v>
      </c>
      <c r="AK8876" s="5" t="s">
        <v>3618</v>
      </c>
    </row>
    <row r="8877" spans="35:37">
      <c r="AI8877" s="468">
        <v>51249</v>
      </c>
      <c r="AJ8877" s="5" t="s">
        <v>3579</v>
      </c>
      <c r="AK8877" s="5" t="s">
        <v>3620</v>
      </c>
    </row>
    <row r="8878" spans="35:37">
      <c r="AI8878" s="468">
        <v>51250</v>
      </c>
      <c r="AJ8878" s="5" t="s">
        <v>3624</v>
      </c>
      <c r="AK8878" s="5" t="s">
        <v>3622</v>
      </c>
    </row>
    <row r="8879" spans="35:37">
      <c r="AI8879" s="468">
        <v>51251</v>
      </c>
      <c r="AJ8879" s="5" t="s">
        <v>3626</v>
      </c>
      <c r="AK8879" s="5" t="s">
        <v>3623</v>
      </c>
    </row>
    <row r="8880" spans="35:37">
      <c r="AI8880" s="468">
        <v>51252</v>
      </c>
      <c r="AJ8880" s="5" t="s">
        <v>3628</v>
      </c>
      <c r="AK8880" s="5" t="s">
        <v>3625</v>
      </c>
    </row>
    <row r="8881" spans="35:37">
      <c r="AI8881" s="468">
        <v>51253</v>
      </c>
      <c r="AJ8881" s="5" t="s">
        <v>3617</v>
      </c>
      <c r="AK8881" s="5" t="s">
        <v>3627</v>
      </c>
    </row>
    <row r="8882" spans="35:37">
      <c r="AI8882" s="468">
        <v>51254</v>
      </c>
      <c r="AJ8882" s="5" t="s">
        <v>3619</v>
      </c>
      <c r="AK8882" s="5" t="s">
        <v>3618</v>
      </c>
    </row>
    <row r="8883" spans="35:37">
      <c r="AI8883" s="468">
        <v>51255</v>
      </c>
      <c r="AJ8883" s="5" t="s">
        <v>3621</v>
      </c>
      <c r="AK8883" s="5" t="s">
        <v>3620</v>
      </c>
    </row>
    <row r="8884" spans="35:37">
      <c r="AI8884" s="468">
        <v>51256</v>
      </c>
      <c r="AJ8884" s="5" t="s">
        <v>3579</v>
      </c>
      <c r="AK8884" s="5" t="s">
        <v>3622</v>
      </c>
    </row>
    <row r="8885" spans="35:37">
      <c r="AI8885" s="468">
        <v>51257</v>
      </c>
      <c r="AJ8885" s="5" t="s">
        <v>3624</v>
      </c>
      <c r="AK8885" s="5" t="s">
        <v>3623</v>
      </c>
    </row>
    <row r="8886" spans="35:37">
      <c r="AI8886" s="468">
        <v>51258</v>
      </c>
      <c r="AJ8886" s="5" t="s">
        <v>3626</v>
      </c>
      <c r="AK8886" s="5" t="s">
        <v>3625</v>
      </c>
    </row>
    <row r="8887" spans="35:37">
      <c r="AI8887" s="468">
        <v>51259</v>
      </c>
      <c r="AJ8887" s="5" t="s">
        <v>3628</v>
      </c>
      <c r="AK8887" s="5" t="s">
        <v>3627</v>
      </c>
    </row>
    <row r="8888" spans="35:37">
      <c r="AI8888" s="468">
        <v>51260</v>
      </c>
      <c r="AJ8888" s="5" t="s">
        <v>3617</v>
      </c>
      <c r="AK8888" s="5" t="s">
        <v>3618</v>
      </c>
    </row>
    <row r="8889" spans="35:37">
      <c r="AI8889" s="468">
        <v>51261</v>
      </c>
      <c r="AJ8889" s="5" t="s">
        <v>3619</v>
      </c>
      <c r="AK8889" s="5" t="s">
        <v>3620</v>
      </c>
    </row>
    <row r="8890" spans="35:37">
      <c r="AI8890" s="468">
        <v>51262</v>
      </c>
      <c r="AJ8890" s="5" t="s">
        <v>3621</v>
      </c>
      <c r="AK8890" s="5" t="s">
        <v>3622</v>
      </c>
    </row>
    <row r="8891" spans="35:37">
      <c r="AI8891" s="468">
        <v>51263</v>
      </c>
      <c r="AJ8891" s="5" t="s">
        <v>3579</v>
      </c>
      <c r="AK8891" s="5" t="s">
        <v>3623</v>
      </c>
    </row>
    <row r="8892" spans="35:37">
      <c r="AI8892" s="468">
        <v>51264</v>
      </c>
      <c r="AJ8892" s="5" t="s">
        <v>3624</v>
      </c>
      <c r="AK8892" s="5" t="s">
        <v>3625</v>
      </c>
    </row>
    <row r="8893" spans="35:37">
      <c r="AI8893" s="468">
        <v>51265</v>
      </c>
      <c r="AJ8893" s="5" t="s">
        <v>3626</v>
      </c>
      <c r="AK8893" s="5" t="s">
        <v>3627</v>
      </c>
    </row>
    <row r="8894" spans="35:37">
      <c r="AI8894" s="468">
        <v>51266</v>
      </c>
      <c r="AJ8894" s="5" t="s">
        <v>3628</v>
      </c>
      <c r="AK8894" s="5" t="s">
        <v>3618</v>
      </c>
    </row>
    <row r="8895" spans="35:37">
      <c r="AI8895" s="468">
        <v>51267</v>
      </c>
      <c r="AJ8895" s="5" t="s">
        <v>3617</v>
      </c>
      <c r="AK8895" s="5" t="s">
        <v>3622</v>
      </c>
    </row>
    <row r="8896" spans="35:37">
      <c r="AI8896" s="468">
        <v>51268</v>
      </c>
      <c r="AJ8896" s="5" t="s">
        <v>3619</v>
      </c>
      <c r="AK8896" s="5" t="s">
        <v>3623</v>
      </c>
    </row>
    <row r="8897" spans="35:37">
      <c r="AI8897" s="468">
        <v>51269</v>
      </c>
      <c r="AJ8897" s="5" t="s">
        <v>3621</v>
      </c>
      <c r="AK8897" s="5" t="s">
        <v>3625</v>
      </c>
    </row>
    <row r="8898" spans="35:37">
      <c r="AI8898" s="468">
        <v>51270</v>
      </c>
      <c r="AJ8898" s="5" t="s">
        <v>3579</v>
      </c>
      <c r="AK8898" s="5" t="s">
        <v>3627</v>
      </c>
    </row>
    <row r="8899" spans="35:37">
      <c r="AI8899" s="468">
        <v>51271</v>
      </c>
      <c r="AJ8899" s="5" t="s">
        <v>3624</v>
      </c>
      <c r="AK8899" s="5" t="s">
        <v>3618</v>
      </c>
    </row>
    <row r="8900" spans="35:37">
      <c r="AI8900" s="468">
        <v>51272</v>
      </c>
      <c r="AJ8900" s="5" t="s">
        <v>3626</v>
      </c>
      <c r="AK8900" s="5" t="s">
        <v>3620</v>
      </c>
    </row>
    <row r="8901" spans="35:37">
      <c r="AI8901" s="468">
        <v>51273</v>
      </c>
      <c r="AJ8901" s="5" t="s">
        <v>3628</v>
      </c>
      <c r="AK8901" s="5" t="s">
        <v>3622</v>
      </c>
    </row>
    <row r="8902" spans="35:37">
      <c r="AI8902" s="468">
        <v>51274</v>
      </c>
      <c r="AJ8902" s="5" t="s">
        <v>3617</v>
      </c>
      <c r="AK8902" s="5" t="s">
        <v>3623</v>
      </c>
    </row>
    <row r="8903" spans="35:37">
      <c r="AI8903" s="468">
        <v>51275</v>
      </c>
      <c r="AJ8903" s="5" t="s">
        <v>3619</v>
      </c>
      <c r="AK8903" s="5" t="s">
        <v>3625</v>
      </c>
    </row>
    <row r="8904" spans="35:37">
      <c r="AI8904" s="468">
        <v>51276</v>
      </c>
      <c r="AJ8904" s="5" t="s">
        <v>3621</v>
      </c>
      <c r="AK8904" s="5" t="s">
        <v>3627</v>
      </c>
    </row>
    <row r="8905" spans="35:37">
      <c r="AI8905" s="468">
        <v>51277</v>
      </c>
      <c r="AJ8905" s="5" t="s">
        <v>3579</v>
      </c>
      <c r="AK8905" s="5" t="s">
        <v>3618</v>
      </c>
    </row>
    <row r="8906" spans="35:37">
      <c r="AI8906" s="468">
        <v>51278</v>
      </c>
      <c r="AJ8906" s="5" t="s">
        <v>3624</v>
      </c>
      <c r="AK8906" s="5" t="s">
        <v>3620</v>
      </c>
    </row>
    <row r="8907" spans="35:37">
      <c r="AI8907" s="468">
        <v>51279</v>
      </c>
      <c r="AJ8907" s="5" t="s">
        <v>3626</v>
      </c>
      <c r="AK8907" s="5" t="s">
        <v>3622</v>
      </c>
    </row>
    <row r="8908" spans="35:37">
      <c r="AI8908" s="468">
        <v>51280</v>
      </c>
      <c r="AJ8908" s="5" t="s">
        <v>3628</v>
      </c>
      <c r="AK8908" s="5" t="s">
        <v>3623</v>
      </c>
    </row>
    <row r="8909" spans="35:37">
      <c r="AI8909" s="468">
        <v>51281</v>
      </c>
      <c r="AJ8909" s="5" t="s">
        <v>3617</v>
      </c>
      <c r="AK8909" s="5" t="s">
        <v>3625</v>
      </c>
    </row>
    <row r="8910" spans="35:37">
      <c r="AI8910" s="468">
        <v>51282</v>
      </c>
      <c r="AJ8910" s="5" t="s">
        <v>3619</v>
      </c>
      <c r="AK8910" s="5" t="s">
        <v>3627</v>
      </c>
    </row>
    <row r="8911" spans="35:37">
      <c r="AI8911" s="468">
        <v>51283</v>
      </c>
      <c r="AJ8911" s="5" t="s">
        <v>3621</v>
      </c>
      <c r="AK8911" s="5" t="s">
        <v>3618</v>
      </c>
    </row>
    <row r="8912" spans="35:37">
      <c r="AI8912" s="468">
        <v>51284</v>
      </c>
      <c r="AJ8912" s="5" t="s">
        <v>3579</v>
      </c>
      <c r="AK8912" s="5" t="s">
        <v>3620</v>
      </c>
    </row>
    <row r="8913" spans="35:37">
      <c r="AI8913" s="468">
        <v>51285</v>
      </c>
      <c r="AJ8913" s="5" t="s">
        <v>3624</v>
      </c>
      <c r="AK8913" s="5" t="s">
        <v>3622</v>
      </c>
    </row>
    <row r="8914" spans="35:37">
      <c r="AI8914" s="468">
        <v>51286</v>
      </c>
      <c r="AJ8914" s="5" t="s">
        <v>3626</v>
      </c>
      <c r="AK8914" s="5" t="s">
        <v>3623</v>
      </c>
    </row>
    <row r="8915" spans="35:37">
      <c r="AI8915" s="468">
        <v>51287</v>
      </c>
      <c r="AJ8915" s="5" t="s">
        <v>3628</v>
      </c>
      <c r="AK8915" s="5" t="s">
        <v>3625</v>
      </c>
    </row>
    <row r="8916" spans="35:37">
      <c r="AI8916" s="468">
        <v>51288</v>
      </c>
      <c r="AJ8916" s="5" t="s">
        <v>3617</v>
      </c>
      <c r="AK8916" s="5" t="s">
        <v>3627</v>
      </c>
    </row>
    <row r="8917" spans="35:37">
      <c r="AI8917" s="468">
        <v>51289</v>
      </c>
      <c r="AJ8917" s="5" t="s">
        <v>3619</v>
      </c>
      <c r="AK8917" s="5" t="s">
        <v>3618</v>
      </c>
    </row>
    <row r="8918" spans="35:37">
      <c r="AI8918" s="468">
        <v>51290</v>
      </c>
      <c r="AJ8918" s="5" t="s">
        <v>3621</v>
      </c>
      <c r="AK8918" s="5" t="s">
        <v>3620</v>
      </c>
    </row>
    <row r="8919" spans="35:37">
      <c r="AI8919" s="468">
        <v>51291</v>
      </c>
      <c r="AJ8919" s="5" t="s">
        <v>3579</v>
      </c>
      <c r="AK8919" s="5" t="s">
        <v>3622</v>
      </c>
    </row>
    <row r="8920" spans="35:37">
      <c r="AI8920" s="468">
        <v>51292</v>
      </c>
      <c r="AJ8920" s="5" t="s">
        <v>3624</v>
      </c>
      <c r="AK8920" s="5" t="s">
        <v>3623</v>
      </c>
    </row>
    <row r="8921" spans="35:37">
      <c r="AI8921" s="468">
        <v>51293</v>
      </c>
      <c r="AJ8921" s="5" t="s">
        <v>3626</v>
      </c>
      <c r="AK8921" s="5" t="s">
        <v>3625</v>
      </c>
    </row>
    <row r="8922" spans="35:37">
      <c r="AI8922" s="468">
        <v>51294</v>
      </c>
      <c r="AJ8922" s="5" t="s">
        <v>3628</v>
      </c>
      <c r="AK8922" s="5" t="s">
        <v>3627</v>
      </c>
    </row>
    <row r="8923" spans="35:37">
      <c r="AI8923" s="468">
        <v>51295</v>
      </c>
      <c r="AJ8923" s="5" t="s">
        <v>3617</v>
      </c>
      <c r="AK8923" s="5" t="s">
        <v>3618</v>
      </c>
    </row>
    <row r="8924" spans="35:37">
      <c r="AI8924" s="468">
        <v>51296</v>
      </c>
      <c r="AJ8924" s="5" t="s">
        <v>3619</v>
      </c>
      <c r="AK8924" s="5" t="s">
        <v>3620</v>
      </c>
    </row>
    <row r="8925" spans="35:37">
      <c r="AI8925" s="468">
        <v>51297</v>
      </c>
      <c r="AJ8925" s="5" t="s">
        <v>3621</v>
      </c>
      <c r="AK8925" s="5" t="s">
        <v>3623</v>
      </c>
    </row>
    <row r="8926" spans="35:37">
      <c r="AI8926" s="468">
        <v>51298</v>
      </c>
      <c r="AJ8926" s="5" t="s">
        <v>3579</v>
      </c>
      <c r="AK8926" s="5" t="s">
        <v>3625</v>
      </c>
    </row>
    <row r="8927" spans="35:37">
      <c r="AI8927" s="468">
        <v>51299</v>
      </c>
      <c r="AJ8927" s="5" t="s">
        <v>3624</v>
      </c>
      <c r="AK8927" s="5" t="s">
        <v>3627</v>
      </c>
    </row>
    <row r="8928" spans="35:37">
      <c r="AI8928" s="468">
        <v>51300</v>
      </c>
      <c r="AJ8928" s="5" t="s">
        <v>3626</v>
      </c>
      <c r="AK8928" s="5" t="s">
        <v>3618</v>
      </c>
    </row>
    <row r="8929" spans="35:37">
      <c r="AI8929" s="468">
        <v>51301</v>
      </c>
      <c r="AJ8929" s="5" t="s">
        <v>3628</v>
      </c>
      <c r="AK8929" s="5" t="s">
        <v>3620</v>
      </c>
    </row>
    <row r="8930" spans="35:37">
      <c r="AI8930" s="468">
        <v>51302</v>
      </c>
      <c r="AJ8930" s="5" t="s">
        <v>3617</v>
      </c>
      <c r="AK8930" s="5" t="s">
        <v>3622</v>
      </c>
    </row>
    <row r="8931" spans="35:37">
      <c r="AI8931" s="468">
        <v>51303</v>
      </c>
      <c r="AJ8931" s="5" t="s">
        <v>3619</v>
      </c>
      <c r="AK8931" s="5" t="s">
        <v>3623</v>
      </c>
    </row>
    <row r="8932" spans="35:37">
      <c r="AI8932" s="468">
        <v>51304</v>
      </c>
      <c r="AJ8932" s="5" t="s">
        <v>3621</v>
      </c>
      <c r="AK8932" s="5" t="s">
        <v>3625</v>
      </c>
    </row>
    <row r="8933" spans="35:37">
      <c r="AI8933" s="468">
        <v>51305</v>
      </c>
      <c r="AJ8933" s="5" t="s">
        <v>3579</v>
      </c>
      <c r="AK8933" s="5" t="s">
        <v>3627</v>
      </c>
    </row>
    <row r="8934" spans="35:37">
      <c r="AI8934" s="468">
        <v>51306</v>
      </c>
      <c r="AJ8934" s="5" t="s">
        <v>3624</v>
      </c>
      <c r="AK8934" s="5" t="s">
        <v>3618</v>
      </c>
    </row>
    <row r="8935" spans="35:37">
      <c r="AI8935" s="468">
        <v>51307</v>
      </c>
      <c r="AJ8935" s="5" t="s">
        <v>3626</v>
      </c>
      <c r="AK8935" s="5" t="s">
        <v>3620</v>
      </c>
    </row>
    <row r="8936" spans="35:37">
      <c r="AI8936" s="468">
        <v>51308</v>
      </c>
      <c r="AJ8936" s="5" t="s">
        <v>3628</v>
      </c>
      <c r="AK8936" s="5" t="s">
        <v>3622</v>
      </c>
    </row>
    <row r="8937" spans="35:37">
      <c r="AI8937" s="468">
        <v>51309</v>
      </c>
      <c r="AJ8937" s="5" t="s">
        <v>3617</v>
      </c>
      <c r="AK8937" s="5" t="s">
        <v>3623</v>
      </c>
    </row>
    <row r="8938" spans="35:37">
      <c r="AI8938" s="468">
        <v>51310</v>
      </c>
      <c r="AJ8938" s="5" t="s">
        <v>3619</v>
      </c>
      <c r="AK8938" s="5" t="s">
        <v>3625</v>
      </c>
    </row>
    <row r="8939" spans="35:37">
      <c r="AI8939" s="468">
        <v>51311</v>
      </c>
      <c r="AJ8939" s="5" t="s">
        <v>3621</v>
      </c>
      <c r="AK8939" s="5" t="s">
        <v>3627</v>
      </c>
    </row>
    <row r="8940" spans="35:37">
      <c r="AI8940" s="468">
        <v>51312</v>
      </c>
      <c r="AJ8940" s="5" t="s">
        <v>3579</v>
      </c>
      <c r="AK8940" s="5" t="s">
        <v>3618</v>
      </c>
    </row>
    <row r="8941" spans="35:37">
      <c r="AI8941" s="468">
        <v>51313</v>
      </c>
      <c r="AJ8941" s="5" t="s">
        <v>3624</v>
      </c>
      <c r="AK8941" s="5" t="s">
        <v>3620</v>
      </c>
    </row>
    <row r="8942" spans="35:37">
      <c r="AI8942" s="468">
        <v>51314</v>
      </c>
      <c r="AJ8942" s="5" t="s">
        <v>3626</v>
      </c>
      <c r="AK8942" s="5" t="s">
        <v>3622</v>
      </c>
    </row>
    <row r="8943" spans="35:37">
      <c r="AI8943" s="468">
        <v>51315</v>
      </c>
      <c r="AJ8943" s="5" t="s">
        <v>3628</v>
      </c>
      <c r="AK8943" s="5" t="s">
        <v>3623</v>
      </c>
    </row>
    <row r="8944" spans="35:37">
      <c r="AI8944" s="468">
        <v>51316</v>
      </c>
      <c r="AJ8944" s="5" t="s">
        <v>3617</v>
      </c>
      <c r="AK8944" s="5" t="s">
        <v>3625</v>
      </c>
    </row>
    <row r="8945" spans="35:37">
      <c r="AI8945" s="468">
        <v>51317</v>
      </c>
      <c r="AJ8945" s="5" t="s">
        <v>3619</v>
      </c>
      <c r="AK8945" s="5" t="s">
        <v>3627</v>
      </c>
    </row>
    <row r="8946" spans="35:37">
      <c r="AI8946" s="468">
        <v>51318</v>
      </c>
      <c r="AJ8946" s="5" t="s">
        <v>3621</v>
      </c>
      <c r="AK8946" s="5" t="s">
        <v>3618</v>
      </c>
    </row>
    <row r="8947" spans="35:37">
      <c r="AI8947" s="468">
        <v>51319</v>
      </c>
      <c r="AJ8947" s="5" t="s">
        <v>3579</v>
      </c>
      <c r="AK8947" s="5" t="s">
        <v>3620</v>
      </c>
    </row>
    <row r="8948" spans="35:37">
      <c r="AI8948" s="468">
        <v>51320</v>
      </c>
      <c r="AJ8948" s="5" t="s">
        <v>3624</v>
      </c>
      <c r="AK8948" s="5" t="s">
        <v>3622</v>
      </c>
    </row>
    <row r="8949" spans="35:37">
      <c r="AI8949" s="468">
        <v>51321</v>
      </c>
      <c r="AJ8949" s="5" t="s">
        <v>3626</v>
      </c>
      <c r="AK8949" s="5" t="s">
        <v>3623</v>
      </c>
    </row>
    <row r="8950" spans="35:37">
      <c r="AI8950" s="468">
        <v>51322</v>
      </c>
      <c r="AJ8950" s="5" t="s">
        <v>3628</v>
      </c>
      <c r="AK8950" s="5" t="s">
        <v>3625</v>
      </c>
    </row>
    <row r="8951" spans="35:37">
      <c r="AI8951" s="468">
        <v>51323</v>
      </c>
      <c r="AJ8951" s="5" t="s">
        <v>3617</v>
      </c>
      <c r="AK8951" s="5" t="s">
        <v>3627</v>
      </c>
    </row>
    <row r="8952" spans="35:37">
      <c r="AI8952" s="468">
        <v>51324</v>
      </c>
      <c r="AJ8952" s="5" t="s">
        <v>3619</v>
      </c>
      <c r="AK8952" s="5" t="s">
        <v>3618</v>
      </c>
    </row>
    <row r="8953" spans="35:37">
      <c r="AI8953" s="468">
        <v>51325</v>
      </c>
      <c r="AJ8953" s="5" t="s">
        <v>3621</v>
      </c>
      <c r="AK8953" s="5" t="s">
        <v>3620</v>
      </c>
    </row>
    <row r="8954" spans="35:37">
      <c r="AI8954" s="468">
        <v>51326</v>
      </c>
      <c r="AJ8954" s="5" t="s">
        <v>3579</v>
      </c>
      <c r="AK8954" s="5" t="s">
        <v>3625</v>
      </c>
    </row>
    <row r="8955" spans="35:37">
      <c r="AI8955" s="468">
        <v>51327</v>
      </c>
      <c r="AJ8955" s="5" t="s">
        <v>3624</v>
      </c>
      <c r="AK8955" s="5" t="s">
        <v>3627</v>
      </c>
    </row>
    <row r="8956" spans="35:37">
      <c r="AI8956" s="468">
        <v>51328</v>
      </c>
      <c r="AJ8956" s="5" t="s">
        <v>3626</v>
      </c>
      <c r="AK8956" s="5" t="s">
        <v>3618</v>
      </c>
    </row>
    <row r="8957" spans="35:37">
      <c r="AI8957" s="468">
        <v>51329</v>
      </c>
      <c r="AJ8957" s="5" t="s">
        <v>3628</v>
      </c>
      <c r="AK8957" s="5" t="s">
        <v>3620</v>
      </c>
    </row>
    <row r="8958" spans="35:37">
      <c r="AI8958" s="468">
        <v>51330</v>
      </c>
      <c r="AJ8958" s="5" t="s">
        <v>3617</v>
      </c>
      <c r="AK8958" s="5" t="s">
        <v>3622</v>
      </c>
    </row>
    <row r="8959" spans="35:37">
      <c r="AI8959" s="468">
        <v>51331</v>
      </c>
      <c r="AJ8959" s="5" t="s">
        <v>3619</v>
      </c>
      <c r="AK8959" s="5" t="s">
        <v>3623</v>
      </c>
    </row>
    <row r="8960" spans="35:37">
      <c r="AI8960" s="468">
        <v>51332</v>
      </c>
      <c r="AJ8960" s="5" t="s">
        <v>3621</v>
      </c>
      <c r="AK8960" s="5" t="s">
        <v>3625</v>
      </c>
    </row>
    <row r="8961" spans="35:37">
      <c r="AI8961" s="468">
        <v>51333</v>
      </c>
      <c r="AJ8961" s="5" t="s">
        <v>3579</v>
      </c>
      <c r="AK8961" s="5" t="s">
        <v>3627</v>
      </c>
    </row>
    <row r="8962" spans="35:37">
      <c r="AI8962" s="468">
        <v>51334</v>
      </c>
      <c r="AJ8962" s="5" t="s">
        <v>3624</v>
      </c>
      <c r="AK8962" s="5" t="s">
        <v>3618</v>
      </c>
    </row>
    <row r="8963" spans="35:37">
      <c r="AI8963" s="468">
        <v>51335</v>
      </c>
      <c r="AJ8963" s="5" t="s">
        <v>3626</v>
      </c>
      <c r="AK8963" s="5" t="s">
        <v>3620</v>
      </c>
    </row>
    <row r="8964" spans="35:37">
      <c r="AI8964" s="468">
        <v>51336</v>
      </c>
      <c r="AJ8964" s="5" t="s">
        <v>3628</v>
      </c>
      <c r="AK8964" s="5" t="s">
        <v>3622</v>
      </c>
    </row>
    <row r="8965" spans="35:37">
      <c r="AI8965" s="468">
        <v>51337</v>
      </c>
      <c r="AJ8965" s="5" t="s">
        <v>3617</v>
      </c>
      <c r="AK8965" s="5" t="s">
        <v>3623</v>
      </c>
    </row>
    <row r="8966" spans="35:37">
      <c r="AI8966" s="468">
        <v>51338</v>
      </c>
      <c r="AJ8966" s="5" t="s">
        <v>3619</v>
      </c>
      <c r="AK8966" s="5" t="s">
        <v>3625</v>
      </c>
    </row>
    <row r="8967" spans="35:37">
      <c r="AI8967" s="468">
        <v>51339</v>
      </c>
      <c r="AJ8967" s="5" t="s">
        <v>3621</v>
      </c>
      <c r="AK8967" s="5" t="s">
        <v>3627</v>
      </c>
    </row>
    <row r="8968" spans="35:37">
      <c r="AI8968" s="468">
        <v>51340</v>
      </c>
      <c r="AJ8968" s="5" t="s">
        <v>3579</v>
      </c>
      <c r="AK8968" s="5" t="s">
        <v>3618</v>
      </c>
    </row>
    <row r="8969" spans="35:37">
      <c r="AI8969" s="468">
        <v>51341</v>
      </c>
      <c r="AJ8969" s="5" t="s">
        <v>3624</v>
      </c>
      <c r="AK8969" s="5" t="s">
        <v>3620</v>
      </c>
    </row>
    <row r="8970" spans="35:37">
      <c r="AI8970" s="468">
        <v>51342</v>
      </c>
      <c r="AJ8970" s="5" t="s">
        <v>3626</v>
      </c>
      <c r="AK8970" s="5" t="s">
        <v>3622</v>
      </c>
    </row>
    <row r="8971" spans="35:37">
      <c r="AI8971" s="468">
        <v>51343</v>
      </c>
      <c r="AJ8971" s="5" t="s">
        <v>3628</v>
      </c>
      <c r="AK8971" s="5" t="s">
        <v>3623</v>
      </c>
    </row>
    <row r="8972" spans="35:37">
      <c r="AI8972" s="468">
        <v>51344</v>
      </c>
      <c r="AJ8972" s="5" t="s">
        <v>3617</v>
      </c>
      <c r="AK8972" s="5" t="s">
        <v>3625</v>
      </c>
    </row>
    <row r="8973" spans="35:37">
      <c r="AI8973" s="468">
        <v>51345</v>
      </c>
      <c r="AJ8973" s="5" t="s">
        <v>3619</v>
      </c>
      <c r="AK8973" s="5" t="s">
        <v>3627</v>
      </c>
    </row>
    <row r="8974" spans="35:37">
      <c r="AI8974" s="468">
        <v>51346</v>
      </c>
      <c r="AJ8974" s="5" t="s">
        <v>3621</v>
      </c>
      <c r="AK8974" s="5" t="s">
        <v>3618</v>
      </c>
    </row>
    <row r="8975" spans="35:37">
      <c r="AI8975" s="468">
        <v>51347</v>
      </c>
      <c r="AJ8975" s="5" t="s">
        <v>3579</v>
      </c>
      <c r="AK8975" s="5" t="s">
        <v>3620</v>
      </c>
    </row>
    <row r="8976" spans="35:37">
      <c r="AI8976" s="468">
        <v>51348</v>
      </c>
      <c r="AJ8976" s="5" t="s">
        <v>3624</v>
      </c>
      <c r="AK8976" s="5" t="s">
        <v>3622</v>
      </c>
    </row>
    <row r="8977" spans="35:37">
      <c r="AI8977" s="468">
        <v>51349</v>
      </c>
      <c r="AJ8977" s="5" t="s">
        <v>3626</v>
      </c>
      <c r="AK8977" s="5" t="s">
        <v>3623</v>
      </c>
    </row>
    <row r="8978" spans="35:37">
      <c r="AI8978" s="468">
        <v>51350</v>
      </c>
      <c r="AJ8978" s="5" t="s">
        <v>3628</v>
      </c>
      <c r="AK8978" s="5" t="s">
        <v>3625</v>
      </c>
    </row>
    <row r="8979" spans="35:37">
      <c r="AI8979" s="468">
        <v>51351</v>
      </c>
      <c r="AJ8979" s="5" t="s">
        <v>3617</v>
      </c>
      <c r="AK8979" s="5" t="s">
        <v>3627</v>
      </c>
    </row>
    <row r="8980" spans="35:37">
      <c r="AI8980" s="468">
        <v>51352</v>
      </c>
      <c r="AJ8980" s="5" t="s">
        <v>3619</v>
      </c>
      <c r="AK8980" s="5" t="s">
        <v>3618</v>
      </c>
    </row>
    <row r="8981" spans="35:37">
      <c r="AI8981" s="468">
        <v>51353</v>
      </c>
      <c r="AJ8981" s="5" t="s">
        <v>3621</v>
      </c>
      <c r="AK8981" s="5" t="s">
        <v>3620</v>
      </c>
    </row>
    <row r="8982" spans="35:37">
      <c r="AI8982" s="468">
        <v>51354</v>
      </c>
      <c r="AJ8982" s="5" t="s">
        <v>3579</v>
      </c>
      <c r="AK8982" s="5" t="s">
        <v>3622</v>
      </c>
    </row>
    <row r="8983" spans="35:37">
      <c r="AI8983" s="468">
        <v>51355</v>
      </c>
      <c r="AJ8983" s="5" t="s">
        <v>3624</v>
      </c>
      <c r="AK8983" s="5" t="s">
        <v>3623</v>
      </c>
    </row>
    <row r="8984" spans="35:37">
      <c r="AI8984" s="468">
        <v>51356</v>
      </c>
      <c r="AJ8984" s="5" t="s">
        <v>3626</v>
      </c>
      <c r="AK8984" s="5" t="s">
        <v>3627</v>
      </c>
    </row>
    <row r="8985" spans="35:37">
      <c r="AI8985" s="468">
        <v>51357</v>
      </c>
      <c r="AJ8985" s="5" t="s">
        <v>3628</v>
      </c>
      <c r="AK8985" s="5" t="s">
        <v>3618</v>
      </c>
    </row>
    <row r="8986" spans="35:37">
      <c r="AI8986" s="468">
        <v>51358</v>
      </c>
      <c r="AJ8986" s="5" t="s">
        <v>3617</v>
      </c>
      <c r="AK8986" s="5" t="s">
        <v>3620</v>
      </c>
    </row>
    <row r="8987" spans="35:37">
      <c r="AI8987" s="468">
        <v>51359</v>
      </c>
      <c r="AJ8987" s="5" t="s">
        <v>3619</v>
      </c>
      <c r="AK8987" s="5" t="s">
        <v>3622</v>
      </c>
    </row>
    <row r="8988" spans="35:37">
      <c r="AI8988" s="468">
        <v>51360</v>
      </c>
      <c r="AJ8988" s="5" t="s">
        <v>3621</v>
      </c>
      <c r="AK8988" s="5" t="s">
        <v>3623</v>
      </c>
    </row>
    <row r="8989" spans="35:37">
      <c r="AI8989" s="468">
        <v>51361</v>
      </c>
      <c r="AJ8989" s="5" t="s">
        <v>3579</v>
      </c>
      <c r="AK8989" s="5" t="s">
        <v>3625</v>
      </c>
    </row>
    <row r="8990" spans="35:37">
      <c r="AI8990" s="468">
        <v>51362</v>
      </c>
      <c r="AJ8990" s="5" t="s">
        <v>3624</v>
      </c>
      <c r="AK8990" s="5" t="s">
        <v>3627</v>
      </c>
    </row>
    <row r="8991" spans="35:37">
      <c r="AI8991" s="468">
        <v>51363</v>
      </c>
      <c r="AJ8991" s="5" t="s">
        <v>3626</v>
      </c>
      <c r="AK8991" s="5" t="s">
        <v>3618</v>
      </c>
    </row>
    <row r="8992" spans="35:37">
      <c r="AI8992" s="468">
        <v>51364</v>
      </c>
      <c r="AJ8992" s="5" t="s">
        <v>3628</v>
      </c>
      <c r="AK8992" s="5" t="s">
        <v>3620</v>
      </c>
    </row>
    <row r="8993" spans="35:37">
      <c r="AI8993" s="468">
        <v>51365</v>
      </c>
      <c r="AJ8993" s="5" t="s">
        <v>3617</v>
      </c>
      <c r="AK8993" s="5" t="s">
        <v>3622</v>
      </c>
    </row>
    <row r="8994" spans="35:37">
      <c r="AI8994" s="468">
        <v>51366</v>
      </c>
      <c r="AJ8994" s="5" t="s">
        <v>3619</v>
      </c>
      <c r="AK8994" s="5" t="s">
        <v>3623</v>
      </c>
    </row>
    <row r="8995" spans="35:37">
      <c r="AI8995" s="468">
        <v>51367</v>
      </c>
      <c r="AJ8995" s="5" t="s">
        <v>3621</v>
      </c>
      <c r="AK8995" s="5" t="s">
        <v>3625</v>
      </c>
    </row>
    <row r="8996" spans="35:37">
      <c r="AI8996" s="468">
        <v>51368</v>
      </c>
      <c r="AJ8996" s="5" t="s">
        <v>3579</v>
      </c>
      <c r="AK8996" s="5" t="s">
        <v>3627</v>
      </c>
    </row>
    <row r="8997" spans="35:37">
      <c r="AI8997" s="468">
        <v>51369</v>
      </c>
      <c r="AJ8997" s="5" t="s">
        <v>3624</v>
      </c>
      <c r="AK8997" s="5" t="s">
        <v>3618</v>
      </c>
    </row>
    <row r="8998" spans="35:37">
      <c r="AI8998" s="468">
        <v>51370</v>
      </c>
      <c r="AJ8998" s="5" t="s">
        <v>3626</v>
      </c>
      <c r="AK8998" s="5" t="s">
        <v>3620</v>
      </c>
    </row>
    <row r="8999" spans="35:37">
      <c r="AI8999" s="468">
        <v>51371</v>
      </c>
      <c r="AJ8999" s="5" t="s">
        <v>3628</v>
      </c>
      <c r="AK8999" s="5" t="s">
        <v>3622</v>
      </c>
    </row>
    <row r="9000" spans="35:37">
      <c r="AI9000" s="468">
        <v>51372</v>
      </c>
      <c r="AJ9000" s="5" t="s">
        <v>3617</v>
      </c>
      <c r="AK9000" s="5" t="s">
        <v>3623</v>
      </c>
    </row>
    <row r="9001" spans="35:37">
      <c r="AI9001" s="468">
        <v>51373</v>
      </c>
      <c r="AJ9001" s="5" t="s">
        <v>3619</v>
      </c>
      <c r="AK9001" s="5" t="s">
        <v>3625</v>
      </c>
    </row>
    <row r="9002" spans="35:37">
      <c r="AI9002" s="468">
        <v>51374</v>
      </c>
      <c r="AJ9002" s="5" t="s">
        <v>3621</v>
      </c>
      <c r="AK9002" s="5" t="s">
        <v>3627</v>
      </c>
    </row>
    <row r="9003" spans="35:37">
      <c r="AI9003" s="468">
        <v>51375</v>
      </c>
      <c r="AJ9003" s="5" t="s">
        <v>3579</v>
      </c>
      <c r="AK9003" s="5" t="s">
        <v>3618</v>
      </c>
    </row>
    <row r="9004" spans="35:37">
      <c r="AI9004" s="468">
        <v>51376</v>
      </c>
      <c r="AJ9004" s="5" t="s">
        <v>3624</v>
      </c>
      <c r="AK9004" s="5" t="s">
        <v>3620</v>
      </c>
    </row>
    <row r="9005" spans="35:37">
      <c r="AI9005" s="468">
        <v>51377</v>
      </c>
      <c r="AJ9005" s="5" t="s">
        <v>3626</v>
      </c>
      <c r="AK9005" s="5" t="s">
        <v>3622</v>
      </c>
    </row>
    <row r="9006" spans="35:37">
      <c r="AI9006" s="468">
        <v>51378</v>
      </c>
      <c r="AJ9006" s="5" t="s">
        <v>3628</v>
      </c>
      <c r="AK9006" s="5" t="s">
        <v>3623</v>
      </c>
    </row>
    <row r="9007" spans="35:37">
      <c r="AI9007" s="468">
        <v>51379</v>
      </c>
      <c r="AJ9007" s="5" t="s">
        <v>3617</v>
      </c>
      <c r="AK9007" s="5" t="s">
        <v>3625</v>
      </c>
    </row>
    <row r="9008" spans="35:37">
      <c r="AI9008" s="468">
        <v>51380</v>
      </c>
      <c r="AJ9008" s="5" t="s">
        <v>3619</v>
      </c>
      <c r="AK9008" s="5" t="s">
        <v>3627</v>
      </c>
    </row>
    <row r="9009" spans="35:37">
      <c r="AI9009" s="468">
        <v>51381</v>
      </c>
      <c r="AJ9009" s="5" t="s">
        <v>3621</v>
      </c>
      <c r="AK9009" s="5" t="s">
        <v>3618</v>
      </c>
    </row>
    <row r="9010" spans="35:37">
      <c r="AI9010" s="468">
        <v>51382</v>
      </c>
      <c r="AJ9010" s="5" t="s">
        <v>3579</v>
      </c>
      <c r="AK9010" s="5" t="s">
        <v>3620</v>
      </c>
    </row>
    <row r="9011" spans="35:37">
      <c r="AI9011" s="468">
        <v>51383</v>
      </c>
      <c r="AJ9011" s="5" t="s">
        <v>3624</v>
      </c>
      <c r="AK9011" s="5" t="s">
        <v>3622</v>
      </c>
    </row>
    <row r="9012" spans="35:37">
      <c r="AI9012" s="468">
        <v>51384</v>
      </c>
      <c r="AJ9012" s="5" t="s">
        <v>3626</v>
      </c>
      <c r="AK9012" s="5" t="s">
        <v>3623</v>
      </c>
    </row>
    <row r="9013" spans="35:37">
      <c r="AI9013" s="468">
        <v>51385</v>
      </c>
      <c r="AJ9013" s="5" t="s">
        <v>3628</v>
      </c>
      <c r="AK9013" s="5" t="s">
        <v>3625</v>
      </c>
    </row>
    <row r="9014" spans="35:37">
      <c r="AI9014" s="468">
        <v>51386</v>
      </c>
      <c r="AJ9014" s="5" t="s">
        <v>3617</v>
      </c>
      <c r="AK9014" s="5" t="s">
        <v>3618</v>
      </c>
    </row>
    <row r="9015" spans="35:37">
      <c r="AI9015" s="468">
        <v>51387</v>
      </c>
      <c r="AJ9015" s="5" t="s">
        <v>3619</v>
      </c>
      <c r="AK9015" s="5" t="s">
        <v>3620</v>
      </c>
    </row>
    <row r="9016" spans="35:37">
      <c r="AI9016" s="468">
        <v>51388</v>
      </c>
      <c r="AJ9016" s="5" t="s">
        <v>3621</v>
      </c>
      <c r="AK9016" s="5" t="s">
        <v>3622</v>
      </c>
    </row>
    <row r="9017" spans="35:37">
      <c r="AI9017" s="468">
        <v>51389</v>
      </c>
      <c r="AJ9017" s="5" t="s">
        <v>3579</v>
      </c>
      <c r="AK9017" s="5" t="s">
        <v>3623</v>
      </c>
    </row>
    <row r="9018" spans="35:37">
      <c r="AI9018" s="468">
        <v>51390</v>
      </c>
      <c r="AJ9018" s="5" t="s">
        <v>3624</v>
      </c>
      <c r="AK9018" s="5" t="s">
        <v>3625</v>
      </c>
    </row>
    <row r="9019" spans="35:37">
      <c r="AI9019" s="468">
        <v>51391</v>
      </c>
      <c r="AJ9019" s="5" t="s">
        <v>3626</v>
      </c>
      <c r="AK9019" s="5" t="s">
        <v>3627</v>
      </c>
    </row>
    <row r="9020" spans="35:37">
      <c r="AI9020" s="468">
        <v>51392</v>
      </c>
      <c r="AJ9020" s="5" t="s">
        <v>3628</v>
      </c>
      <c r="AK9020" s="5" t="s">
        <v>3618</v>
      </c>
    </row>
    <row r="9021" spans="35:37">
      <c r="AI9021" s="468">
        <v>51393</v>
      </c>
      <c r="AJ9021" s="5" t="s">
        <v>3617</v>
      </c>
      <c r="AK9021" s="5" t="s">
        <v>3620</v>
      </c>
    </row>
    <row r="9022" spans="35:37">
      <c r="AI9022" s="468">
        <v>51394</v>
      </c>
      <c r="AJ9022" s="5" t="s">
        <v>3619</v>
      </c>
      <c r="AK9022" s="5" t="s">
        <v>3622</v>
      </c>
    </row>
    <row r="9023" spans="35:37">
      <c r="AI9023" s="468">
        <v>51395</v>
      </c>
      <c r="AJ9023" s="5" t="s">
        <v>3621</v>
      </c>
      <c r="AK9023" s="5" t="s">
        <v>3623</v>
      </c>
    </row>
    <row r="9024" spans="35:37">
      <c r="AI9024" s="468">
        <v>51396</v>
      </c>
      <c r="AJ9024" s="5" t="s">
        <v>3579</v>
      </c>
      <c r="AK9024" s="5" t="s">
        <v>3625</v>
      </c>
    </row>
    <row r="9025" spans="35:37">
      <c r="AI9025" s="468">
        <v>51397</v>
      </c>
      <c r="AJ9025" s="5" t="s">
        <v>3624</v>
      </c>
      <c r="AK9025" s="5" t="s">
        <v>3627</v>
      </c>
    </row>
    <row r="9026" spans="35:37">
      <c r="AI9026" s="468">
        <v>51398</v>
      </c>
      <c r="AJ9026" s="5" t="s">
        <v>3626</v>
      </c>
      <c r="AK9026" s="5" t="s">
        <v>3618</v>
      </c>
    </row>
    <row r="9027" spans="35:37">
      <c r="AI9027" s="468">
        <v>51399</v>
      </c>
      <c r="AJ9027" s="5" t="s">
        <v>3628</v>
      </c>
      <c r="AK9027" s="5" t="s">
        <v>3620</v>
      </c>
    </row>
    <row r="9028" spans="35:37">
      <c r="AI9028" s="468">
        <v>51400</v>
      </c>
      <c r="AJ9028" s="5" t="s">
        <v>3617</v>
      </c>
      <c r="AK9028" s="5" t="s">
        <v>3622</v>
      </c>
    </row>
    <row r="9029" spans="35:37">
      <c r="AI9029" s="468">
        <v>51401</v>
      </c>
      <c r="AJ9029" s="5" t="s">
        <v>3619</v>
      </c>
      <c r="AK9029" s="5" t="s">
        <v>3623</v>
      </c>
    </row>
    <row r="9030" spans="35:37">
      <c r="AI9030" s="468">
        <v>51402</v>
      </c>
      <c r="AJ9030" s="5" t="s">
        <v>3621</v>
      </c>
      <c r="AK9030" s="5" t="s">
        <v>3625</v>
      </c>
    </row>
    <row r="9031" spans="35:37">
      <c r="AI9031" s="468">
        <v>51403</v>
      </c>
      <c r="AJ9031" s="5" t="s">
        <v>3579</v>
      </c>
      <c r="AK9031" s="5" t="s">
        <v>3627</v>
      </c>
    </row>
    <row r="9032" spans="35:37">
      <c r="AI9032" s="468">
        <v>51404</v>
      </c>
      <c r="AJ9032" s="5" t="s">
        <v>3624</v>
      </c>
      <c r="AK9032" s="5" t="s">
        <v>3618</v>
      </c>
    </row>
    <row r="9033" spans="35:37">
      <c r="AI9033" s="468">
        <v>51405</v>
      </c>
      <c r="AJ9033" s="5" t="s">
        <v>3626</v>
      </c>
      <c r="AK9033" s="5" t="s">
        <v>3620</v>
      </c>
    </row>
    <row r="9034" spans="35:37">
      <c r="AI9034" s="468">
        <v>51406</v>
      </c>
      <c r="AJ9034" s="5" t="s">
        <v>3628</v>
      </c>
      <c r="AK9034" s="5" t="s">
        <v>3622</v>
      </c>
    </row>
    <row r="9035" spans="35:37">
      <c r="AI9035" s="468">
        <v>51407</v>
      </c>
      <c r="AJ9035" s="5" t="s">
        <v>3617</v>
      </c>
      <c r="AK9035" s="5" t="s">
        <v>3623</v>
      </c>
    </row>
    <row r="9036" spans="35:37">
      <c r="AI9036" s="468">
        <v>51408</v>
      </c>
      <c r="AJ9036" s="5" t="s">
        <v>3619</v>
      </c>
      <c r="AK9036" s="5" t="s">
        <v>3625</v>
      </c>
    </row>
    <row r="9037" spans="35:37">
      <c r="AI9037" s="468">
        <v>51409</v>
      </c>
      <c r="AJ9037" s="5" t="s">
        <v>3621</v>
      </c>
      <c r="AK9037" s="5" t="s">
        <v>3627</v>
      </c>
    </row>
    <row r="9038" spans="35:37">
      <c r="AI9038" s="468">
        <v>51410</v>
      </c>
      <c r="AJ9038" s="5" t="s">
        <v>3579</v>
      </c>
      <c r="AK9038" s="5" t="s">
        <v>3618</v>
      </c>
    </row>
    <row r="9039" spans="35:37">
      <c r="AI9039" s="468">
        <v>51411</v>
      </c>
      <c r="AJ9039" s="5" t="s">
        <v>3624</v>
      </c>
      <c r="AK9039" s="5" t="s">
        <v>3620</v>
      </c>
    </row>
    <row r="9040" spans="35:37">
      <c r="AI9040" s="468">
        <v>51412</v>
      </c>
      <c r="AJ9040" s="5" t="s">
        <v>3626</v>
      </c>
      <c r="AK9040" s="5" t="s">
        <v>3622</v>
      </c>
    </row>
    <row r="9041" spans="35:37">
      <c r="AI9041" s="468">
        <v>51413</v>
      </c>
      <c r="AJ9041" s="5" t="s">
        <v>3628</v>
      </c>
      <c r="AK9041" s="5" t="s">
        <v>3623</v>
      </c>
    </row>
    <row r="9042" spans="35:37">
      <c r="AI9042" s="468">
        <v>51414</v>
      </c>
      <c r="AJ9042" s="5" t="s">
        <v>3617</v>
      </c>
      <c r="AK9042" s="5" t="s">
        <v>3625</v>
      </c>
    </row>
    <row r="9043" spans="35:37">
      <c r="AI9043" s="468">
        <v>51415</v>
      </c>
      <c r="AJ9043" s="5" t="s">
        <v>3619</v>
      </c>
      <c r="AK9043" s="5" t="s">
        <v>3620</v>
      </c>
    </row>
    <row r="9044" spans="35:37">
      <c r="AI9044" s="468">
        <v>51416</v>
      </c>
      <c r="AJ9044" s="5" t="s">
        <v>3621</v>
      </c>
      <c r="AK9044" s="5" t="s">
        <v>3622</v>
      </c>
    </row>
    <row r="9045" spans="35:37">
      <c r="AI9045" s="468">
        <v>51417</v>
      </c>
      <c r="AJ9045" s="5" t="s">
        <v>3579</v>
      </c>
      <c r="AK9045" s="5" t="s">
        <v>3623</v>
      </c>
    </row>
    <row r="9046" spans="35:37">
      <c r="AI9046" s="468">
        <v>51418</v>
      </c>
      <c r="AJ9046" s="5" t="s">
        <v>3624</v>
      </c>
      <c r="AK9046" s="5" t="s">
        <v>3625</v>
      </c>
    </row>
    <row r="9047" spans="35:37">
      <c r="AI9047" s="468">
        <v>51419</v>
      </c>
      <c r="AJ9047" s="5" t="s">
        <v>3626</v>
      </c>
      <c r="AK9047" s="5" t="s">
        <v>3627</v>
      </c>
    </row>
    <row r="9048" spans="35:37">
      <c r="AI9048" s="468">
        <v>51420</v>
      </c>
      <c r="AJ9048" s="5" t="s">
        <v>3628</v>
      </c>
      <c r="AK9048" s="5" t="s">
        <v>3618</v>
      </c>
    </row>
    <row r="9049" spans="35:37">
      <c r="AI9049" s="468">
        <v>51421</v>
      </c>
      <c r="AJ9049" s="5" t="s">
        <v>3617</v>
      </c>
      <c r="AK9049" s="5" t="s">
        <v>3620</v>
      </c>
    </row>
    <row r="9050" spans="35:37">
      <c r="AI9050" s="468">
        <v>51422</v>
      </c>
      <c r="AJ9050" s="5" t="s">
        <v>3619</v>
      </c>
      <c r="AK9050" s="5" t="s">
        <v>3622</v>
      </c>
    </row>
    <row r="9051" spans="35:37">
      <c r="AI9051" s="468">
        <v>51423</v>
      </c>
      <c r="AJ9051" s="5" t="s">
        <v>3621</v>
      </c>
      <c r="AK9051" s="5" t="s">
        <v>3623</v>
      </c>
    </row>
    <row r="9052" spans="35:37">
      <c r="AI9052" s="468">
        <v>51424</v>
      </c>
      <c r="AJ9052" s="5" t="s">
        <v>3579</v>
      </c>
      <c r="AK9052" s="5" t="s">
        <v>3625</v>
      </c>
    </row>
    <row r="9053" spans="35:37">
      <c r="AI9053" s="468">
        <v>51425</v>
      </c>
      <c r="AJ9053" s="5" t="s">
        <v>3624</v>
      </c>
      <c r="AK9053" s="5" t="s">
        <v>3627</v>
      </c>
    </row>
    <row r="9054" spans="35:37">
      <c r="AI9054" s="468">
        <v>51426</v>
      </c>
      <c r="AJ9054" s="5" t="s">
        <v>3626</v>
      </c>
      <c r="AK9054" s="5" t="s">
        <v>3618</v>
      </c>
    </row>
    <row r="9055" spans="35:37">
      <c r="AI9055" s="468">
        <v>51427</v>
      </c>
      <c r="AJ9055" s="5" t="s">
        <v>3628</v>
      </c>
      <c r="AK9055" s="5" t="s">
        <v>3620</v>
      </c>
    </row>
    <row r="9056" spans="35:37">
      <c r="AI9056" s="468">
        <v>51428</v>
      </c>
      <c r="AJ9056" s="5" t="s">
        <v>3617</v>
      </c>
      <c r="AK9056" s="5" t="s">
        <v>3622</v>
      </c>
    </row>
    <row r="9057" spans="35:37">
      <c r="AI9057" s="468">
        <v>51429</v>
      </c>
      <c r="AJ9057" s="5" t="s">
        <v>3619</v>
      </c>
      <c r="AK9057" s="5" t="s">
        <v>3623</v>
      </c>
    </row>
    <row r="9058" spans="35:37">
      <c r="AI9058" s="468">
        <v>51430</v>
      </c>
      <c r="AJ9058" s="5" t="s">
        <v>3621</v>
      </c>
      <c r="AK9058" s="5" t="s">
        <v>3625</v>
      </c>
    </row>
    <row r="9059" spans="35:37">
      <c r="AI9059" s="468">
        <v>51431</v>
      </c>
      <c r="AJ9059" s="5" t="s">
        <v>3579</v>
      </c>
      <c r="AK9059" s="5" t="s">
        <v>3627</v>
      </c>
    </row>
    <row r="9060" spans="35:37">
      <c r="AI9060" s="468">
        <v>51432</v>
      </c>
      <c r="AJ9060" s="5" t="s">
        <v>3624</v>
      </c>
      <c r="AK9060" s="5" t="s">
        <v>3618</v>
      </c>
    </row>
    <row r="9061" spans="35:37">
      <c r="AI9061" s="468">
        <v>51433</v>
      </c>
      <c r="AJ9061" s="5" t="s">
        <v>3626</v>
      </c>
      <c r="AK9061" s="5" t="s">
        <v>3620</v>
      </c>
    </row>
    <row r="9062" spans="35:37">
      <c r="AI9062" s="468">
        <v>51434</v>
      </c>
      <c r="AJ9062" s="5" t="s">
        <v>3628</v>
      </c>
      <c r="AK9062" s="5" t="s">
        <v>3622</v>
      </c>
    </row>
    <row r="9063" spans="35:37">
      <c r="AI9063" s="468">
        <v>51435</v>
      </c>
      <c r="AJ9063" s="5" t="s">
        <v>3617</v>
      </c>
      <c r="AK9063" s="5" t="s">
        <v>3623</v>
      </c>
    </row>
    <row r="9064" spans="35:37">
      <c r="AI9064" s="468">
        <v>51436</v>
      </c>
      <c r="AJ9064" s="5" t="s">
        <v>3619</v>
      </c>
      <c r="AK9064" s="5" t="s">
        <v>3625</v>
      </c>
    </row>
    <row r="9065" spans="35:37">
      <c r="AI9065" s="468">
        <v>51437</v>
      </c>
      <c r="AJ9065" s="5" t="s">
        <v>3621</v>
      </c>
      <c r="AK9065" s="5" t="s">
        <v>3627</v>
      </c>
    </row>
    <row r="9066" spans="35:37">
      <c r="AI9066" s="468">
        <v>51438</v>
      </c>
      <c r="AJ9066" s="5" t="s">
        <v>3579</v>
      </c>
      <c r="AK9066" s="5" t="s">
        <v>3618</v>
      </c>
    </row>
    <row r="9067" spans="35:37">
      <c r="AI9067" s="468">
        <v>51439</v>
      </c>
      <c r="AJ9067" s="5" t="s">
        <v>3624</v>
      </c>
      <c r="AK9067" s="5" t="s">
        <v>3620</v>
      </c>
    </row>
    <row r="9068" spans="35:37">
      <c r="AI9068" s="468">
        <v>51440</v>
      </c>
      <c r="AJ9068" s="5" t="s">
        <v>3626</v>
      </c>
      <c r="AK9068" s="5" t="s">
        <v>3622</v>
      </c>
    </row>
    <row r="9069" spans="35:37">
      <c r="AI9069" s="468">
        <v>51441</v>
      </c>
      <c r="AJ9069" s="5" t="s">
        <v>3628</v>
      </c>
      <c r="AK9069" s="5" t="s">
        <v>3623</v>
      </c>
    </row>
    <row r="9070" spans="35:37">
      <c r="AI9070" s="468">
        <v>51442</v>
      </c>
      <c r="AJ9070" s="5" t="s">
        <v>3617</v>
      </c>
      <c r="AK9070" s="5" t="s">
        <v>3625</v>
      </c>
    </row>
    <row r="9071" spans="35:37">
      <c r="AI9071" s="468">
        <v>51443</v>
      </c>
      <c r="AJ9071" s="5" t="s">
        <v>3619</v>
      </c>
      <c r="AK9071" s="5" t="s">
        <v>3627</v>
      </c>
    </row>
    <row r="9072" spans="35:37">
      <c r="AI9072" s="468">
        <v>51444</v>
      </c>
      <c r="AJ9072" s="5" t="s">
        <v>3621</v>
      </c>
      <c r="AK9072" s="5" t="s">
        <v>3618</v>
      </c>
    </row>
    <row r="9073" spans="35:37">
      <c r="AI9073" s="468">
        <v>51445</v>
      </c>
      <c r="AJ9073" s="5" t="s">
        <v>3579</v>
      </c>
      <c r="AK9073" s="5" t="s">
        <v>3622</v>
      </c>
    </row>
    <row r="9074" spans="35:37">
      <c r="AI9074" s="468">
        <v>51446</v>
      </c>
      <c r="AJ9074" s="5" t="s">
        <v>3624</v>
      </c>
      <c r="AK9074" s="5" t="s">
        <v>3623</v>
      </c>
    </row>
    <row r="9075" spans="35:37">
      <c r="AI9075" s="468">
        <v>51447</v>
      </c>
      <c r="AJ9075" s="5" t="s">
        <v>3626</v>
      </c>
      <c r="AK9075" s="5" t="s">
        <v>3625</v>
      </c>
    </row>
    <row r="9076" spans="35:37">
      <c r="AI9076" s="468">
        <v>51448</v>
      </c>
      <c r="AJ9076" s="5" t="s">
        <v>3628</v>
      </c>
      <c r="AK9076" s="5" t="s">
        <v>3627</v>
      </c>
    </row>
    <row r="9077" spans="35:37">
      <c r="AI9077" s="468">
        <v>51449</v>
      </c>
      <c r="AJ9077" s="5" t="s">
        <v>3617</v>
      </c>
      <c r="AK9077" s="5" t="s">
        <v>3618</v>
      </c>
    </row>
    <row r="9078" spans="35:37">
      <c r="AI9078" s="468">
        <v>51450</v>
      </c>
      <c r="AJ9078" s="5" t="s">
        <v>3619</v>
      </c>
      <c r="AK9078" s="5" t="s">
        <v>3620</v>
      </c>
    </row>
    <row r="9079" spans="35:37">
      <c r="AI9079" s="468">
        <v>51451</v>
      </c>
      <c r="AJ9079" s="5" t="s">
        <v>3621</v>
      </c>
      <c r="AK9079" s="5" t="s">
        <v>3622</v>
      </c>
    </row>
    <row r="9080" spans="35:37">
      <c r="AI9080" s="468">
        <v>51452</v>
      </c>
      <c r="AJ9080" s="5" t="s">
        <v>3579</v>
      </c>
      <c r="AK9080" s="5" t="s">
        <v>3623</v>
      </c>
    </row>
    <row r="9081" spans="35:37">
      <c r="AI9081" s="468">
        <v>51453</v>
      </c>
      <c r="AJ9081" s="5" t="s">
        <v>3624</v>
      </c>
      <c r="AK9081" s="5" t="s">
        <v>3625</v>
      </c>
    </row>
    <row r="9082" spans="35:37">
      <c r="AI9082" s="468">
        <v>51454</v>
      </c>
      <c r="AJ9082" s="5" t="s">
        <v>3626</v>
      </c>
      <c r="AK9082" s="5" t="s">
        <v>3627</v>
      </c>
    </row>
    <row r="9083" spans="35:37">
      <c r="AI9083" s="468">
        <v>51455</v>
      </c>
      <c r="AJ9083" s="5" t="s">
        <v>3628</v>
      </c>
      <c r="AK9083" s="5" t="s">
        <v>3618</v>
      </c>
    </row>
    <row r="9084" spans="35:37">
      <c r="AI9084" s="468">
        <v>51456</v>
      </c>
      <c r="AJ9084" s="5" t="s">
        <v>3617</v>
      </c>
      <c r="AK9084" s="5" t="s">
        <v>3620</v>
      </c>
    </row>
    <row r="9085" spans="35:37">
      <c r="AI9085" s="468">
        <v>51457</v>
      </c>
      <c r="AJ9085" s="5" t="s">
        <v>3619</v>
      </c>
      <c r="AK9085" s="5" t="s">
        <v>3622</v>
      </c>
    </row>
    <row r="9086" spans="35:37">
      <c r="AI9086" s="468">
        <v>51458</v>
      </c>
      <c r="AJ9086" s="5" t="s">
        <v>3621</v>
      </c>
      <c r="AK9086" s="5" t="s">
        <v>3623</v>
      </c>
    </row>
    <row r="9087" spans="35:37">
      <c r="AI9087" s="468">
        <v>51459</v>
      </c>
      <c r="AJ9087" s="5" t="s">
        <v>3579</v>
      </c>
      <c r="AK9087" s="5" t="s">
        <v>3625</v>
      </c>
    </row>
    <row r="9088" spans="35:37">
      <c r="AI9088" s="468">
        <v>51460</v>
      </c>
      <c r="AJ9088" s="5" t="s">
        <v>3624</v>
      </c>
      <c r="AK9088" s="5" t="s">
        <v>3627</v>
      </c>
    </row>
    <row r="9089" spans="35:37">
      <c r="AI9089" s="468">
        <v>51461</v>
      </c>
      <c r="AJ9089" s="5" t="s">
        <v>3626</v>
      </c>
      <c r="AK9089" s="5" t="s">
        <v>3618</v>
      </c>
    </row>
    <row r="9090" spans="35:37">
      <c r="AI9090" s="468">
        <v>51462</v>
      </c>
      <c r="AJ9090" s="5" t="s">
        <v>3628</v>
      </c>
      <c r="AK9090" s="5" t="s">
        <v>3620</v>
      </c>
    </row>
    <row r="9091" spans="35:37">
      <c r="AI9091" s="468">
        <v>51463</v>
      </c>
      <c r="AJ9091" s="5" t="s">
        <v>3617</v>
      </c>
      <c r="AK9091" s="5" t="s">
        <v>3622</v>
      </c>
    </row>
    <row r="9092" spans="35:37">
      <c r="AI9092" s="468">
        <v>51464</v>
      </c>
      <c r="AJ9092" s="5" t="s">
        <v>3619</v>
      </c>
      <c r="AK9092" s="5" t="s">
        <v>3623</v>
      </c>
    </row>
    <row r="9093" spans="35:37">
      <c r="AI9093" s="468">
        <v>51465</v>
      </c>
      <c r="AJ9093" s="5" t="s">
        <v>3621</v>
      </c>
      <c r="AK9093" s="5" t="s">
        <v>3625</v>
      </c>
    </row>
    <row r="9094" spans="35:37">
      <c r="AI9094" s="468">
        <v>51466</v>
      </c>
      <c r="AJ9094" s="5" t="s">
        <v>3579</v>
      </c>
      <c r="AK9094" s="5" t="s">
        <v>3627</v>
      </c>
    </row>
    <row r="9095" spans="35:37">
      <c r="AI9095" s="468">
        <v>51467</v>
      </c>
      <c r="AJ9095" s="5" t="s">
        <v>3624</v>
      </c>
      <c r="AK9095" s="5" t="s">
        <v>3618</v>
      </c>
    </row>
    <row r="9096" spans="35:37">
      <c r="AI9096" s="468">
        <v>51468</v>
      </c>
      <c r="AJ9096" s="5" t="s">
        <v>3626</v>
      </c>
      <c r="AK9096" s="5" t="s">
        <v>3620</v>
      </c>
    </row>
    <row r="9097" spans="35:37">
      <c r="AI9097" s="468">
        <v>51469</v>
      </c>
      <c r="AJ9097" s="5" t="s">
        <v>3628</v>
      </c>
      <c r="AK9097" s="5" t="s">
        <v>3622</v>
      </c>
    </row>
    <row r="9098" spans="35:37">
      <c r="AI9098" s="468">
        <v>51470</v>
      </c>
      <c r="AJ9098" s="5" t="s">
        <v>3617</v>
      </c>
      <c r="AK9098" s="5" t="s">
        <v>3623</v>
      </c>
    </row>
    <row r="9099" spans="35:37">
      <c r="AI9099" s="468">
        <v>51471</v>
      </c>
      <c r="AJ9099" s="5" t="s">
        <v>3619</v>
      </c>
      <c r="AK9099" s="5" t="s">
        <v>3625</v>
      </c>
    </row>
    <row r="9100" spans="35:37">
      <c r="AI9100" s="468">
        <v>51472</v>
      </c>
      <c r="AJ9100" s="5" t="s">
        <v>3621</v>
      </c>
      <c r="AK9100" s="5" t="s">
        <v>3627</v>
      </c>
    </row>
    <row r="9101" spans="35:37">
      <c r="AI9101" s="468">
        <v>51473</v>
      </c>
      <c r="AJ9101" s="5" t="s">
        <v>3579</v>
      </c>
      <c r="AK9101" s="5" t="s">
        <v>3618</v>
      </c>
    </row>
    <row r="9102" spans="35:37">
      <c r="AI9102" s="468">
        <v>51474</v>
      </c>
      <c r="AJ9102" s="5" t="s">
        <v>3624</v>
      </c>
      <c r="AK9102" s="5" t="s">
        <v>3623</v>
      </c>
    </row>
    <row r="9103" spans="35:37">
      <c r="AI9103" s="468">
        <v>51475</v>
      </c>
      <c r="AJ9103" s="5" t="s">
        <v>3626</v>
      </c>
      <c r="AK9103" s="5" t="s">
        <v>3625</v>
      </c>
    </row>
    <row r="9104" spans="35:37">
      <c r="AI9104" s="468">
        <v>51476</v>
      </c>
      <c r="AJ9104" s="5" t="s">
        <v>3628</v>
      </c>
      <c r="AK9104" s="5" t="s">
        <v>3627</v>
      </c>
    </row>
    <row r="9105" spans="35:37">
      <c r="AI9105" s="468">
        <v>51477</v>
      </c>
      <c r="AJ9105" s="5" t="s">
        <v>3617</v>
      </c>
      <c r="AK9105" s="5" t="s">
        <v>3618</v>
      </c>
    </row>
    <row r="9106" spans="35:37">
      <c r="AI9106" s="468">
        <v>51478</v>
      </c>
      <c r="AJ9106" s="5" t="s">
        <v>3619</v>
      </c>
      <c r="AK9106" s="5" t="s">
        <v>3620</v>
      </c>
    </row>
    <row r="9107" spans="35:37">
      <c r="AI9107" s="468">
        <v>51479</v>
      </c>
      <c r="AJ9107" s="5" t="s">
        <v>3621</v>
      </c>
      <c r="AK9107" s="5" t="s">
        <v>3622</v>
      </c>
    </row>
    <row r="9108" spans="35:37">
      <c r="AI9108" s="468">
        <v>51480</v>
      </c>
      <c r="AJ9108" s="5" t="s">
        <v>3579</v>
      </c>
      <c r="AK9108" s="5" t="s">
        <v>3623</v>
      </c>
    </row>
    <row r="9109" spans="35:37">
      <c r="AI9109" s="468">
        <v>51481</v>
      </c>
      <c r="AJ9109" s="5" t="s">
        <v>3624</v>
      </c>
      <c r="AK9109" s="5" t="s">
        <v>3625</v>
      </c>
    </row>
    <row r="9110" spans="35:37">
      <c r="AI9110" s="468">
        <v>51482</v>
      </c>
      <c r="AJ9110" s="5" t="s">
        <v>3626</v>
      </c>
      <c r="AK9110" s="5" t="s">
        <v>3627</v>
      </c>
    </row>
    <row r="9111" spans="35:37">
      <c r="AI9111" s="468">
        <v>51483</v>
      </c>
      <c r="AJ9111" s="5" t="s">
        <v>3628</v>
      </c>
      <c r="AK9111" s="5" t="s">
        <v>3618</v>
      </c>
    </row>
    <row r="9112" spans="35:37">
      <c r="AI9112" s="468">
        <v>51484</v>
      </c>
      <c r="AJ9112" s="5" t="s">
        <v>3617</v>
      </c>
      <c r="AK9112" s="5" t="s">
        <v>3620</v>
      </c>
    </row>
    <row r="9113" spans="35:37">
      <c r="AI9113" s="468">
        <v>51485</v>
      </c>
      <c r="AJ9113" s="5" t="s">
        <v>3619</v>
      </c>
      <c r="AK9113" s="5" t="s">
        <v>3622</v>
      </c>
    </row>
    <row r="9114" spans="35:37">
      <c r="AI9114" s="468">
        <v>51486</v>
      </c>
      <c r="AJ9114" s="5" t="s">
        <v>3621</v>
      </c>
      <c r="AK9114" s="5" t="s">
        <v>3623</v>
      </c>
    </row>
    <row r="9115" spans="35:37">
      <c r="AI9115" s="468">
        <v>51487</v>
      </c>
      <c r="AJ9115" s="5" t="s">
        <v>3579</v>
      </c>
      <c r="AK9115" s="5" t="s">
        <v>3625</v>
      </c>
    </row>
    <row r="9116" spans="35:37">
      <c r="AI9116" s="468">
        <v>51488</v>
      </c>
      <c r="AJ9116" s="5" t="s">
        <v>3624</v>
      </c>
      <c r="AK9116" s="5" t="s">
        <v>3627</v>
      </c>
    </row>
    <row r="9117" spans="35:37">
      <c r="AI9117" s="468">
        <v>51489</v>
      </c>
      <c r="AJ9117" s="5" t="s">
        <v>3626</v>
      </c>
      <c r="AK9117" s="5" t="s">
        <v>3618</v>
      </c>
    </row>
    <row r="9118" spans="35:37">
      <c r="AI9118" s="468">
        <v>51490</v>
      </c>
      <c r="AJ9118" s="5" t="s">
        <v>3628</v>
      </c>
      <c r="AK9118" s="5" t="s">
        <v>3620</v>
      </c>
    </row>
    <row r="9119" spans="35:37">
      <c r="AI9119" s="468">
        <v>51491</v>
      </c>
      <c r="AJ9119" s="5" t="s">
        <v>3617</v>
      </c>
      <c r="AK9119" s="5" t="s">
        <v>3622</v>
      </c>
    </row>
    <row r="9120" spans="35:37">
      <c r="AI9120" s="468">
        <v>51492</v>
      </c>
      <c r="AJ9120" s="5" t="s">
        <v>3619</v>
      </c>
      <c r="AK9120" s="5" t="s">
        <v>3623</v>
      </c>
    </row>
    <row r="9121" spans="35:37">
      <c r="AI9121" s="468">
        <v>51493</v>
      </c>
      <c r="AJ9121" s="5" t="s">
        <v>3621</v>
      </c>
      <c r="AK9121" s="5" t="s">
        <v>3625</v>
      </c>
    </row>
    <row r="9122" spans="35:37">
      <c r="AI9122" s="468">
        <v>51494</v>
      </c>
      <c r="AJ9122" s="5" t="s">
        <v>3579</v>
      </c>
      <c r="AK9122" s="5" t="s">
        <v>3627</v>
      </c>
    </row>
    <row r="9123" spans="35:37">
      <c r="AI9123" s="468">
        <v>51495</v>
      </c>
      <c r="AJ9123" s="5" t="s">
        <v>3624</v>
      </c>
      <c r="AK9123" s="5" t="s">
        <v>3618</v>
      </c>
    </row>
    <row r="9124" spans="35:37">
      <c r="AI9124" s="468">
        <v>51496</v>
      </c>
      <c r="AJ9124" s="5" t="s">
        <v>3626</v>
      </c>
      <c r="AK9124" s="5" t="s">
        <v>3620</v>
      </c>
    </row>
    <row r="9125" spans="35:37">
      <c r="AI9125" s="468">
        <v>51497</v>
      </c>
      <c r="AJ9125" s="5" t="s">
        <v>3628</v>
      </c>
      <c r="AK9125" s="5" t="s">
        <v>3622</v>
      </c>
    </row>
    <row r="9126" spans="35:37">
      <c r="AI9126" s="468">
        <v>51498</v>
      </c>
      <c r="AJ9126" s="5" t="s">
        <v>3617</v>
      </c>
      <c r="AK9126" s="5" t="s">
        <v>3623</v>
      </c>
    </row>
    <row r="9127" spans="35:37">
      <c r="AI9127" s="468">
        <v>51499</v>
      </c>
      <c r="AJ9127" s="5" t="s">
        <v>3619</v>
      </c>
      <c r="AK9127" s="5" t="s">
        <v>3625</v>
      </c>
    </row>
    <row r="9128" spans="35:37">
      <c r="AI9128" s="468">
        <v>51500</v>
      </c>
      <c r="AJ9128" s="5" t="s">
        <v>3621</v>
      </c>
      <c r="AK9128" s="5" t="s">
        <v>3627</v>
      </c>
    </row>
    <row r="9129" spans="35:37">
      <c r="AI9129" s="468">
        <v>51501</v>
      </c>
      <c r="AJ9129" s="5" t="s">
        <v>3579</v>
      </c>
      <c r="AK9129" s="5" t="s">
        <v>3618</v>
      </c>
    </row>
    <row r="9130" spans="35:37">
      <c r="AI9130" s="468">
        <v>51502</v>
      </c>
      <c r="AJ9130" s="5" t="s">
        <v>3624</v>
      </c>
      <c r="AK9130" s="5" t="s">
        <v>3620</v>
      </c>
    </row>
    <row r="9131" spans="35:37">
      <c r="AI9131" s="468">
        <v>51503</v>
      </c>
      <c r="AJ9131" s="5" t="s">
        <v>3626</v>
      </c>
      <c r="AK9131" s="5" t="s">
        <v>3622</v>
      </c>
    </row>
    <row r="9132" spans="35:37">
      <c r="AI9132" s="468">
        <v>51504</v>
      </c>
      <c r="AJ9132" s="5" t="s">
        <v>3628</v>
      </c>
      <c r="AK9132" s="5" t="s">
        <v>3625</v>
      </c>
    </row>
    <row r="9133" spans="35:37">
      <c r="AI9133" s="468">
        <v>51505</v>
      </c>
      <c r="AJ9133" s="5" t="s">
        <v>3617</v>
      </c>
      <c r="AK9133" s="5" t="s">
        <v>3627</v>
      </c>
    </row>
    <row r="9134" spans="35:37">
      <c r="AI9134" s="468">
        <v>51506</v>
      </c>
      <c r="AJ9134" s="5" t="s">
        <v>3619</v>
      </c>
      <c r="AK9134" s="5" t="s">
        <v>3618</v>
      </c>
    </row>
    <row r="9135" spans="35:37">
      <c r="AI9135" s="468">
        <v>51507</v>
      </c>
      <c r="AJ9135" s="5" t="s">
        <v>3621</v>
      </c>
      <c r="AK9135" s="5" t="s">
        <v>3620</v>
      </c>
    </row>
    <row r="9136" spans="35:37">
      <c r="AI9136" s="468">
        <v>51508</v>
      </c>
      <c r="AJ9136" s="5" t="s">
        <v>3579</v>
      </c>
      <c r="AK9136" s="5" t="s">
        <v>3622</v>
      </c>
    </row>
    <row r="9137" spans="35:37">
      <c r="AI9137" s="468">
        <v>51509</v>
      </c>
      <c r="AJ9137" s="5" t="s">
        <v>3624</v>
      </c>
      <c r="AK9137" s="5" t="s">
        <v>3623</v>
      </c>
    </row>
    <row r="9138" spans="35:37">
      <c r="AI9138" s="468">
        <v>51510</v>
      </c>
      <c r="AJ9138" s="5" t="s">
        <v>3626</v>
      </c>
      <c r="AK9138" s="5" t="s">
        <v>3625</v>
      </c>
    </row>
    <row r="9139" spans="35:37">
      <c r="AI9139" s="468">
        <v>51511</v>
      </c>
      <c r="AJ9139" s="5" t="s">
        <v>3628</v>
      </c>
      <c r="AK9139" s="5" t="s">
        <v>3627</v>
      </c>
    </row>
    <row r="9140" spans="35:37">
      <c r="AI9140" s="468">
        <v>51512</v>
      </c>
      <c r="AJ9140" s="5" t="s">
        <v>3617</v>
      </c>
      <c r="AK9140" s="5" t="s">
        <v>3618</v>
      </c>
    </row>
    <row r="9141" spans="35:37">
      <c r="AI9141" s="468">
        <v>51513</v>
      </c>
      <c r="AJ9141" s="5" t="s">
        <v>3619</v>
      </c>
      <c r="AK9141" s="5" t="s">
        <v>3620</v>
      </c>
    </row>
    <row r="9142" spans="35:37">
      <c r="AI9142" s="468">
        <v>51514</v>
      </c>
      <c r="AJ9142" s="5" t="s">
        <v>3621</v>
      </c>
      <c r="AK9142" s="5" t="s">
        <v>3622</v>
      </c>
    </row>
    <row r="9143" spans="35:37">
      <c r="AI9143" s="468">
        <v>51515</v>
      </c>
      <c r="AJ9143" s="5" t="s">
        <v>3579</v>
      </c>
      <c r="AK9143" s="5" t="s">
        <v>3623</v>
      </c>
    </row>
    <row r="9144" spans="35:37">
      <c r="AI9144" s="468">
        <v>51516</v>
      </c>
      <c r="AJ9144" s="5" t="s">
        <v>3624</v>
      </c>
      <c r="AK9144" s="5" t="s">
        <v>3625</v>
      </c>
    </row>
    <row r="9145" spans="35:37">
      <c r="AI9145" s="468">
        <v>51517</v>
      </c>
      <c r="AJ9145" s="5" t="s">
        <v>3626</v>
      </c>
      <c r="AK9145" s="5" t="s">
        <v>3627</v>
      </c>
    </row>
    <row r="9146" spans="35:37">
      <c r="AI9146" s="468">
        <v>51518</v>
      </c>
      <c r="AJ9146" s="5" t="s">
        <v>3628</v>
      </c>
      <c r="AK9146" s="5" t="s">
        <v>3618</v>
      </c>
    </row>
    <row r="9147" spans="35:37">
      <c r="AI9147" s="468">
        <v>51519</v>
      </c>
      <c r="AJ9147" s="5" t="s">
        <v>3617</v>
      </c>
      <c r="AK9147" s="5" t="s">
        <v>3620</v>
      </c>
    </row>
    <row r="9148" spans="35:37">
      <c r="AI9148" s="468">
        <v>51520</v>
      </c>
      <c r="AJ9148" s="5" t="s">
        <v>3619</v>
      </c>
      <c r="AK9148" s="5" t="s">
        <v>3622</v>
      </c>
    </row>
    <row r="9149" spans="35:37">
      <c r="AI9149" s="468">
        <v>51521</v>
      </c>
      <c r="AJ9149" s="5" t="s">
        <v>3621</v>
      </c>
      <c r="AK9149" s="5" t="s">
        <v>3623</v>
      </c>
    </row>
    <row r="9150" spans="35:37">
      <c r="AI9150" s="468">
        <v>51522</v>
      </c>
      <c r="AJ9150" s="5" t="s">
        <v>3579</v>
      </c>
      <c r="AK9150" s="5" t="s">
        <v>3625</v>
      </c>
    </row>
    <row r="9151" spans="35:37">
      <c r="AI9151" s="468">
        <v>51523</v>
      </c>
      <c r="AJ9151" s="5" t="s">
        <v>3624</v>
      </c>
      <c r="AK9151" s="5" t="s">
        <v>3627</v>
      </c>
    </row>
    <row r="9152" spans="35:37">
      <c r="AI9152" s="468">
        <v>51524</v>
      </c>
      <c r="AJ9152" s="5" t="s">
        <v>3626</v>
      </c>
      <c r="AK9152" s="5" t="s">
        <v>3618</v>
      </c>
    </row>
    <row r="9153" spans="35:37">
      <c r="AI9153" s="468">
        <v>51525</v>
      </c>
      <c r="AJ9153" s="5" t="s">
        <v>3628</v>
      </c>
      <c r="AK9153" s="5" t="s">
        <v>3620</v>
      </c>
    </row>
    <row r="9154" spans="35:37">
      <c r="AI9154" s="468">
        <v>51526</v>
      </c>
      <c r="AJ9154" s="5" t="s">
        <v>3617</v>
      </c>
      <c r="AK9154" s="5" t="s">
        <v>3622</v>
      </c>
    </row>
    <row r="9155" spans="35:37">
      <c r="AI9155" s="468">
        <v>51527</v>
      </c>
      <c r="AJ9155" s="5" t="s">
        <v>3619</v>
      </c>
      <c r="AK9155" s="5" t="s">
        <v>3623</v>
      </c>
    </row>
    <row r="9156" spans="35:37">
      <c r="AI9156" s="468">
        <v>51528</v>
      </c>
      <c r="AJ9156" s="5" t="s">
        <v>3621</v>
      </c>
      <c r="AK9156" s="5" t="s">
        <v>3625</v>
      </c>
    </row>
    <row r="9157" spans="35:37">
      <c r="AI9157" s="468">
        <v>51529</v>
      </c>
      <c r="AJ9157" s="5" t="s">
        <v>3579</v>
      </c>
      <c r="AK9157" s="5" t="s">
        <v>3627</v>
      </c>
    </row>
    <row r="9158" spans="35:37">
      <c r="AI9158" s="468">
        <v>51530</v>
      </c>
      <c r="AJ9158" s="5" t="s">
        <v>3624</v>
      </c>
      <c r="AK9158" s="5" t="s">
        <v>3618</v>
      </c>
    </row>
    <row r="9159" spans="35:37">
      <c r="AI9159" s="468">
        <v>51531</v>
      </c>
      <c r="AJ9159" s="5" t="s">
        <v>3626</v>
      </c>
      <c r="AK9159" s="5" t="s">
        <v>3620</v>
      </c>
    </row>
    <row r="9160" spans="35:37">
      <c r="AI9160" s="468">
        <v>51532</v>
      </c>
      <c r="AJ9160" s="5" t="s">
        <v>3628</v>
      </c>
      <c r="AK9160" s="5" t="s">
        <v>3622</v>
      </c>
    </row>
    <row r="9161" spans="35:37">
      <c r="AI9161" s="468">
        <v>51533</v>
      </c>
      <c r="AJ9161" s="5" t="s">
        <v>3617</v>
      </c>
      <c r="AK9161" s="5" t="s">
        <v>3627</v>
      </c>
    </row>
    <row r="9162" spans="35:37">
      <c r="AI9162" s="468">
        <v>51534</v>
      </c>
      <c r="AJ9162" s="5" t="s">
        <v>3619</v>
      </c>
      <c r="AK9162" s="5" t="s">
        <v>3618</v>
      </c>
    </row>
    <row r="9163" spans="35:37">
      <c r="AI9163" s="468">
        <v>51535</v>
      </c>
      <c r="AJ9163" s="5" t="s">
        <v>3621</v>
      </c>
      <c r="AK9163" s="5" t="s">
        <v>3620</v>
      </c>
    </row>
    <row r="9164" spans="35:37">
      <c r="AI9164" s="468">
        <v>51536</v>
      </c>
      <c r="AJ9164" s="5" t="s">
        <v>3579</v>
      </c>
      <c r="AK9164" s="5" t="s">
        <v>3622</v>
      </c>
    </row>
    <row r="9165" spans="35:37">
      <c r="AI9165" s="468">
        <v>51537</v>
      </c>
      <c r="AJ9165" s="5" t="s">
        <v>3624</v>
      </c>
      <c r="AK9165" s="5" t="s">
        <v>3623</v>
      </c>
    </row>
    <row r="9166" spans="35:37">
      <c r="AI9166" s="468">
        <v>51538</v>
      </c>
      <c r="AJ9166" s="5" t="s">
        <v>3626</v>
      </c>
      <c r="AK9166" s="5" t="s">
        <v>3625</v>
      </c>
    </row>
    <row r="9167" spans="35:37">
      <c r="AI9167" s="468">
        <v>51539</v>
      </c>
      <c r="AJ9167" s="5" t="s">
        <v>3628</v>
      </c>
      <c r="AK9167" s="5" t="s">
        <v>3627</v>
      </c>
    </row>
    <row r="9168" spans="35:37">
      <c r="AI9168" s="468">
        <v>51540</v>
      </c>
      <c r="AJ9168" s="5" t="s">
        <v>3617</v>
      </c>
      <c r="AK9168" s="5" t="s">
        <v>3618</v>
      </c>
    </row>
    <row r="9169" spans="35:37">
      <c r="AI9169" s="468">
        <v>51541</v>
      </c>
      <c r="AJ9169" s="5" t="s">
        <v>3619</v>
      </c>
      <c r="AK9169" s="5" t="s">
        <v>3620</v>
      </c>
    </row>
    <row r="9170" spans="35:37">
      <c r="AI9170" s="468">
        <v>51542</v>
      </c>
      <c r="AJ9170" s="5" t="s">
        <v>3621</v>
      </c>
      <c r="AK9170" s="5" t="s">
        <v>3622</v>
      </c>
    </row>
    <row r="9171" spans="35:37">
      <c r="AI9171" s="468">
        <v>51543</v>
      </c>
      <c r="AJ9171" s="5" t="s">
        <v>3579</v>
      </c>
      <c r="AK9171" s="5" t="s">
        <v>3623</v>
      </c>
    </row>
    <row r="9172" spans="35:37">
      <c r="AI9172" s="468">
        <v>51544</v>
      </c>
      <c r="AJ9172" s="5" t="s">
        <v>3624</v>
      </c>
      <c r="AK9172" s="5" t="s">
        <v>3625</v>
      </c>
    </row>
    <row r="9173" spans="35:37">
      <c r="AI9173" s="468">
        <v>51545</v>
      </c>
      <c r="AJ9173" s="5" t="s">
        <v>3626</v>
      </c>
      <c r="AK9173" s="5" t="s">
        <v>3627</v>
      </c>
    </row>
    <row r="9174" spans="35:37">
      <c r="AI9174" s="468">
        <v>51546</v>
      </c>
      <c r="AJ9174" s="5" t="s">
        <v>3628</v>
      </c>
      <c r="AK9174" s="5" t="s">
        <v>3618</v>
      </c>
    </row>
    <row r="9175" spans="35:37">
      <c r="AI9175" s="468">
        <v>51547</v>
      </c>
      <c r="AJ9175" s="5" t="s">
        <v>3617</v>
      </c>
      <c r="AK9175" s="5" t="s">
        <v>3620</v>
      </c>
    </row>
    <row r="9176" spans="35:37">
      <c r="AI9176" s="468">
        <v>51548</v>
      </c>
      <c r="AJ9176" s="5" t="s">
        <v>3619</v>
      </c>
      <c r="AK9176" s="5" t="s">
        <v>3622</v>
      </c>
    </row>
    <row r="9177" spans="35:37">
      <c r="AI9177" s="468">
        <v>51549</v>
      </c>
      <c r="AJ9177" s="5" t="s">
        <v>3621</v>
      </c>
      <c r="AK9177" s="5" t="s">
        <v>3623</v>
      </c>
    </row>
    <row r="9178" spans="35:37">
      <c r="AI9178" s="468">
        <v>51550</v>
      </c>
      <c r="AJ9178" s="5" t="s">
        <v>3579</v>
      </c>
      <c r="AK9178" s="5" t="s">
        <v>3625</v>
      </c>
    </row>
    <row r="9179" spans="35:37">
      <c r="AI9179" s="468">
        <v>51551</v>
      </c>
      <c r="AJ9179" s="5" t="s">
        <v>3624</v>
      </c>
      <c r="AK9179" s="5" t="s">
        <v>3627</v>
      </c>
    </row>
    <row r="9180" spans="35:37">
      <c r="AI9180" s="468">
        <v>51552</v>
      </c>
      <c r="AJ9180" s="5" t="s">
        <v>3626</v>
      </c>
      <c r="AK9180" s="5" t="s">
        <v>3618</v>
      </c>
    </row>
    <row r="9181" spans="35:37">
      <c r="AI9181" s="468">
        <v>51553</v>
      </c>
      <c r="AJ9181" s="5" t="s">
        <v>3628</v>
      </c>
      <c r="AK9181" s="5" t="s">
        <v>3620</v>
      </c>
    </row>
    <row r="9182" spans="35:37">
      <c r="AI9182" s="468">
        <v>51554</v>
      </c>
      <c r="AJ9182" s="5" t="s">
        <v>3617</v>
      </c>
      <c r="AK9182" s="5" t="s">
        <v>3622</v>
      </c>
    </row>
    <row r="9183" spans="35:37">
      <c r="AI9183" s="468">
        <v>51555</v>
      </c>
      <c r="AJ9183" s="5" t="s">
        <v>3619</v>
      </c>
      <c r="AK9183" s="5" t="s">
        <v>3623</v>
      </c>
    </row>
    <row r="9184" spans="35:37">
      <c r="AI9184" s="468">
        <v>51556</v>
      </c>
      <c r="AJ9184" s="5" t="s">
        <v>3621</v>
      </c>
      <c r="AK9184" s="5" t="s">
        <v>3625</v>
      </c>
    </row>
    <row r="9185" spans="35:37">
      <c r="AI9185" s="468">
        <v>51557</v>
      </c>
      <c r="AJ9185" s="5" t="s">
        <v>3579</v>
      </c>
      <c r="AK9185" s="5" t="s">
        <v>3627</v>
      </c>
    </row>
    <row r="9186" spans="35:37">
      <c r="AI9186" s="468">
        <v>51558</v>
      </c>
      <c r="AJ9186" s="5" t="s">
        <v>3624</v>
      </c>
      <c r="AK9186" s="5" t="s">
        <v>3618</v>
      </c>
    </row>
    <row r="9187" spans="35:37">
      <c r="AI9187" s="468">
        <v>51559</v>
      </c>
      <c r="AJ9187" s="5" t="s">
        <v>3626</v>
      </c>
      <c r="AK9187" s="5" t="s">
        <v>3620</v>
      </c>
    </row>
    <row r="9188" spans="35:37">
      <c r="AI9188" s="468">
        <v>51560</v>
      </c>
      <c r="AJ9188" s="5" t="s">
        <v>3628</v>
      </c>
      <c r="AK9188" s="5" t="s">
        <v>3622</v>
      </c>
    </row>
    <row r="9189" spans="35:37">
      <c r="AI9189" s="468">
        <v>51561</v>
      </c>
      <c r="AJ9189" s="5" t="s">
        <v>3617</v>
      </c>
      <c r="AK9189" s="5" t="s">
        <v>3623</v>
      </c>
    </row>
    <row r="9190" spans="35:37">
      <c r="AI9190" s="468">
        <v>51562</v>
      </c>
      <c r="AJ9190" s="5" t="s">
        <v>3619</v>
      </c>
      <c r="AK9190" s="5" t="s">
        <v>3625</v>
      </c>
    </row>
    <row r="9191" spans="35:37">
      <c r="AI9191" s="468">
        <v>51563</v>
      </c>
      <c r="AJ9191" s="5" t="s">
        <v>3621</v>
      </c>
      <c r="AK9191" s="5" t="s">
        <v>3618</v>
      </c>
    </row>
    <row r="9192" spans="35:37">
      <c r="AI9192" s="468">
        <v>51564</v>
      </c>
      <c r="AJ9192" s="5" t="s">
        <v>3579</v>
      </c>
      <c r="AK9192" s="5" t="s">
        <v>3620</v>
      </c>
    </row>
    <row r="9193" spans="35:37">
      <c r="AI9193" s="468">
        <v>51565</v>
      </c>
      <c r="AJ9193" s="5" t="s">
        <v>3624</v>
      </c>
      <c r="AK9193" s="5" t="s">
        <v>3622</v>
      </c>
    </row>
    <row r="9194" spans="35:37">
      <c r="AI9194" s="468">
        <v>51566</v>
      </c>
      <c r="AJ9194" s="5" t="s">
        <v>3626</v>
      </c>
      <c r="AK9194" s="5" t="s">
        <v>3623</v>
      </c>
    </row>
    <row r="9195" spans="35:37">
      <c r="AI9195" s="468">
        <v>51567</v>
      </c>
      <c r="AJ9195" s="5" t="s">
        <v>3628</v>
      </c>
      <c r="AK9195" s="5" t="s">
        <v>3625</v>
      </c>
    </row>
    <row r="9196" spans="35:37">
      <c r="AI9196" s="468">
        <v>51568</v>
      </c>
      <c r="AJ9196" s="5" t="s">
        <v>3617</v>
      </c>
      <c r="AK9196" s="5" t="s">
        <v>3627</v>
      </c>
    </row>
    <row r="9197" spans="35:37">
      <c r="AI9197" s="468">
        <v>51569</v>
      </c>
      <c r="AJ9197" s="5" t="s">
        <v>3619</v>
      </c>
      <c r="AK9197" s="5" t="s">
        <v>3618</v>
      </c>
    </row>
    <row r="9198" spans="35:37">
      <c r="AI9198" s="468">
        <v>51570</v>
      </c>
      <c r="AJ9198" s="5" t="s">
        <v>3621</v>
      </c>
      <c r="AK9198" s="5" t="s">
        <v>3620</v>
      </c>
    </row>
    <row r="9199" spans="35:37">
      <c r="AI9199" s="468">
        <v>51571</v>
      </c>
      <c r="AJ9199" s="5" t="s">
        <v>3579</v>
      </c>
      <c r="AK9199" s="5" t="s">
        <v>3622</v>
      </c>
    </row>
    <row r="9200" spans="35:37">
      <c r="AI9200" s="468">
        <v>51572</v>
      </c>
      <c r="AJ9200" s="5" t="s">
        <v>3624</v>
      </c>
      <c r="AK9200" s="5" t="s">
        <v>3623</v>
      </c>
    </row>
    <row r="9201" spans="35:37">
      <c r="AI9201" s="468">
        <v>51573</v>
      </c>
      <c r="AJ9201" s="5" t="s">
        <v>3626</v>
      </c>
      <c r="AK9201" s="5" t="s">
        <v>3625</v>
      </c>
    </row>
    <row r="9202" spans="35:37">
      <c r="AI9202" s="468">
        <v>51574</v>
      </c>
      <c r="AJ9202" s="5" t="s">
        <v>3628</v>
      </c>
      <c r="AK9202" s="5" t="s">
        <v>3627</v>
      </c>
    </row>
    <row r="9203" spans="35:37">
      <c r="AI9203" s="468">
        <v>51575</v>
      </c>
      <c r="AJ9203" s="5" t="s">
        <v>3617</v>
      </c>
      <c r="AK9203" s="5" t="s">
        <v>3618</v>
      </c>
    </row>
    <row r="9204" spans="35:37">
      <c r="AI9204" s="468">
        <v>51576</v>
      </c>
      <c r="AJ9204" s="5" t="s">
        <v>3619</v>
      </c>
      <c r="AK9204" s="5" t="s">
        <v>3620</v>
      </c>
    </row>
    <row r="9205" spans="35:37">
      <c r="AI9205" s="468">
        <v>51577</v>
      </c>
      <c r="AJ9205" s="5" t="s">
        <v>3621</v>
      </c>
      <c r="AK9205" s="5" t="s">
        <v>3622</v>
      </c>
    </row>
    <row r="9206" spans="35:37">
      <c r="AI9206" s="468">
        <v>51578</v>
      </c>
      <c r="AJ9206" s="5" t="s">
        <v>3579</v>
      </c>
      <c r="AK9206" s="5" t="s">
        <v>3623</v>
      </c>
    </row>
    <row r="9207" spans="35:37">
      <c r="AI9207" s="468">
        <v>51579</v>
      </c>
      <c r="AJ9207" s="5" t="s">
        <v>3624</v>
      </c>
      <c r="AK9207" s="5" t="s">
        <v>3625</v>
      </c>
    </row>
    <row r="9208" spans="35:37">
      <c r="AI9208" s="468">
        <v>51580</v>
      </c>
      <c r="AJ9208" s="5" t="s">
        <v>3626</v>
      </c>
      <c r="AK9208" s="5" t="s">
        <v>3627</v>
      </c>
    </row>
    <row r="9209" spans="35:37">
      <c r="AI9209" s="468">
        <v>51581</v>
      </c>
      <c r="AJ9209" s="5" t="s">
        <v>3628</v>
      </c>
      <c r="AK9209" s="5" t="s">
        <v>3618</v>
      </c>
    </row>
    <row r="9210" spans="35:37">
      <c r="AI9210" s="468">
        <v>51582</v>
      </c>
      <c r="AJ9210" s="5" t="s">
        <v>3617</v>
      </c>
      <c r="AK9210" s="5" t="s">
        <v>3620</v>
      </c>
    </row>
    <row r="9211" spans="35:37">
      <c r="AI9211" s="468">
        <v>51583</v>
      </c>
      <c r="AJ9211" s="5" t="s">
        <v>3619</v>
      </c>
      <c r="AK9211" s="5" t="s">
        <v>3622</v>
      </c>
    </row>
    <row r="9212" spans="35:37">
      <c r="AI9212" s="468">
        <v>51584</v>
      </c>
      <c r="AJ9212" s="5" t="s">
        <v>3621</v>
      </c>
      <c r="AK9212" s="5" t="s">
        <v>3623</v>
      </c>
    </row>
    <row r="9213" spans="35:37">
      <c r="AI9213" s="468">
        <v>51585</v>
      </c>
      <c r="AJ9213" s="5" t="s">
        <v>3579</v>
      </c>
      <c r="AK9213" s="5" t="s">
        <v>3625</v>
      </c>
    </row>
    <row r="9214" spans="35:37">
      <c r="AI9214" s="468">
        <v>51586</v>
      </c>
      <c r="AJ9214" s="5" t="s">
        <v>3624</v>
      </c>
      <c r="AK9214" s="5" t="s">
        <v>3627</v>
      </c>
    </row>
    <row r="9215" spans="35:37">
      <c r="AI9215" s="468">
        <v>51587</v>
      </c>
      <c r="AJ9215" s="5" t="s">
        <v>3626</v>
      </c>
      <c r="AK9215" s="5" t="s">
        <v>3618</v>
      </c>
    </row>
    <row r="9216" spans="35:37">
      <c r="AI9216" s="468">
        <v>51588</v>
      </c>
      <c r="AJ9216" s="5" t="s">
        <v>3628</v>
      </c>
      <c r="AK9216" s="5" t="s">
        <v>3620</v>
      </c>
    </row>
    <row r="9217" spans="35:37">
      <c r="AI9217" s="468">
        <v>51589</v>
      </c>
      <c r="AJ9217" s="5" t="s">
        <v>3617</v>
      </c>
      <c r="AK9217" s="5" t="s">
        <v>3622</v>
      </c>
    </row>
    <row r="9218" spans="35:37">
      <c r="AI9218" s="468">
        <v>51590</v>
      </c>
      <c r="AJ9218" s="5" t="s">
        <v>3619</v>
      </c>
      <c r="AK9218" s="5" t="s">
        <v>3623</v>
      </c>
    </row>
    <row r="9219" spans="35:37">
      <c r="AI9219" s="468">
        <v>51591</v>
      </c>
      <c r="AJ9219" s="5" t="s">
        <v>3621</v>
      </c>
      <c r="AK9219" s="5" t="s">
        <v>3625</v>
      </c>
    </row>
    <row r="9220" spans="35:37">
      <c r="AI9220" s="468">
        <v>51592</v>
      </c>
      <c r="AJ9220" s="5" t="s">
        <v>3579</v>
      </c>
      <c r="AK9220" s="5" t="s">
        <v>3620</v>
      </c>
    </row>
    <row r="9221" spans="35:37">
      <c r="AI9221" s="468">
        <v>51593</v>
      </c>
      <c r="AJ9221" s="5" t="s">
        <v>3624</v>
      </c>
      <c r="AK9221" s="5" t="s">
        <v>3622</v>
      </c>
    </row>
    <row r="9222" spans="35:37">
      <c r="AI9222" s="468">
        <v>51594</v>
      </c>
      <c r="AJ9222" s="5" t="s">
        <v>3626</v>
      </c>
      <c r="AK9222" s="5" t="s">
        <v>3623</v>
      </c>
    </row>
    <row r="9223" spans="35:37">
      <c r="AI9223" s="468">
        <v>51595</v>
      </c>
      <c r="AJ9223" s="5" t="s">
        <v>3628</v>
      </c>
      <c r="AK9223" s="5" t="s">
        <v>3625</v>
      </c>
    </row>
    <row r="9224" spans="35:37">
      <c r="AI9224" s="468">
        <v>51596</v>
      </c>
      <c r="AJ9224" s="5" t="s">
        <v>3617</v>
      </c>
      <c r="AK9224" s="5" t="s">
        <v>3627</v>
      </c>
    </row>
    <row r="9225" spans="35:37">
      <c r="AI9225" s="468">
        <v>51597</v>
      </c>
      <c r="AJ9225" s="5" t="s">
        <v>3619</v>
      </c>
      <c r="AK9225" s="5" t="s">
        <v>3618</v>
      </c>
    </row>
    <row r="9226" spans="35:37">
      <c r="AI9226" s="468">
        <v>51598</v>
      </c>
      <c r="AJ9226" s="5" t="s">
        <v>3621</v>
      </c>
      <c r="AK9226" s="5" t="s">
        <v>3620</v>
      </c>
    </row>
    <row r="9227" spans="35:37">
      <c r="AI9227" s="468">
        <v>51599</v>
      </c>
      <c r="AJ9227" s="5" t="s">
        <v>3579</v>
      </c>
      <c r="AK9227" s="5" t="s">
        <v>3622</v>
      </c>
    </row>
    <row r="9228" spans="35:37">
      <c r="AI9228" s="468">
        <v>51600</v>
      </c>
      <c r="AJ9228" s="5" t="s">
        <v>3624</v>
      </c>
      <c r="AK9228" s="5" t="s">
        <v>3623</v>
      </c>
    </row>
    <row r="9229" spans="35:37">
      <c r="AI9229" s="468">
        <v>51601</v>
      </c>
      <c r="AJ9229" s="5" t="s">
        <v>3626</v>
      </c>
      <c r="AK9229" s="5" t="s">
        <v>3625</v>
      </c>
    </row>
    <row r="9230" spans="35:37">
      <c r="AI9230" s="468">
        <v>51602</v>
      </c>
      <c r="AJ9230" s="5" t="s">
        <v>3628</v>
      </c>
      <c r="AK9230" s="5" t="s">
        <v>3627</v>
      </c>
    </row>
    <row r="9231" spans="35:37">
      <c r="AI9231" s="468">
        <v>51603</v>
      </c>
      <c r="AJ9231" s="5" t="s">
        <v>3617</v>
      </c>
      <c r="AK9231" s="5" t="s">
        <v>3618</v>
      </c>
    </row>
    <row r="9232" spans="35:37">
      <c r="AI9232" s="468">
        <v>51604</v>
      </c>
      <c r="AJ9232" s="5" t="s">
        <v>3619</v>
      </c>
      <c r="AK9232" s="5" t="s">
        <v>3620</v>
      </c>
    </row>
    <row r="9233" spans="35:37">
      <c r="AI9233" s="468">
        <v>51605</v>
      </c>
      <c r="AJ9233" s="5" t="s">
        <v>3621</v>
      </c>
      <c r="AK9233" s="5" t="s">
        <v>3622</v>
      </c>
    </row>
    <row r="9234" spans="35:37">
      <c r="AI9234" s="468">
        <v>51606</v>
      </c>
      <c r="AJ9234" s="5" t="s">
        <v>3579</v>
      </c>
      <c r="AK9234" s="5" t="s">
        <v>3623</v>
      </c>
    </row>
    <row r="9235" spans="35:37">
      <c r="AI9235" s="468">
        <v>51607</v>
      </c>
      <c r="AJ9235" s="5" t="s">
        <v>3624</v>
      </c>
      <c r="AK9235" s="5" t="s">
        <v>3625</v>
      </c>
    </row>
    <row r="9236" spans="35:37">
      <c r="AI9236" s="468">
        <v>51608</v>
      </c>
      <c r="AJ9236" s="5" t="s">
        <v>3626</v>
      </c>
      <c r="AK9236" s="5" t="s">
        <v>3627</v>
      </c>
    </row>
    <row r="9237" spans="35:37">
      <c r="AI9237" s="468">
        <v>51609</v>
      </c>
      <c r="AJ9237" s="5" t="s">
        <v>3628</v>
      </c>
      <c r="AK9237" s="5" t="s">
        <v>3618</v>
      </c>
    </row>
    <row r="9238" spans="35:37">
      <c r="AI9238" s="468">
        <v>51610</v>
      </c>
      <c r="AJ9238" s="5" t="s">
        <v>3617</v>
      </c>
      <c r="AK9238" s="5" t="s">
        <v>3620</v>
      </c>
    </row>
    <row r="9239" spans="35:37">
      <c r="AI9239" s="468">
        <v>51611</v>
      </c>
      <c r="AJ9239" s="5" t="s">
        <v>3619</v>
      </c>
      <c r="AK9239" s="5" t="s">
        <v>3622</v>
      </c>
    </row>
    <row r="9240" spans="35:37">
      <c r="AI9240" s="468">
        <v>51612</v>
      </c>
      <c r="AJ9240" s="5" t="s">
        <v>3621</v>
      </c>
      <c r="AK9240" s="5" t="s">
        <v>3623</v>
      </c>
    </row>
    <row r="9241" spans="35:37">
      <c r="AI9241" s="468">
        <v>51613</v>
      </c>
      <c r="AJ9241" s="5" t="s">
        <v>3579</v>
      </c>
      <c r="AK9241" s="5" t="s">
        <v>3625</v>
      </c>
    </row>
    <row r="9242" spans="35:37">
      <c r="AI9242" s="468">
        <v>51614</v>
      </c>
      <c r="AJ9242" s="5" t="s">
        <v>3624</v>
      </c>
      <c r="AK9242" s="5" t="s">
        <v>3627</v>
      </c>
    </row>
    <row r="9243" spans="35:37">
      <c r="AI9243" s="468">
        <v>51615</v>
      </c>
      <c r="AJ9243" s="5" t="s">
        <v>3626</v>
      </c>
      <c r="AK9243" s="5" t="s">
        <v>3618</v>
      </c>
    </row>
    <row r="9244" spans="35:37">
      <c r="AI9244" s="468">
        <v>51616</v>
      </c>
      <c r="AJ9244" s="5" t="s">
        <v>3628</v>
      </c>
      <c r="AK9244" s="5" t="s">
        <v>3620</v>
      </c>
    </row>
    <row r="9245" spans="35:37">
      <c r="AI9245" s="468">
        <v>51617</v>
      </c>
      <c r="AJ9245" s="5" t="s">
        <v>3617</v>
      </c>
      <c r="AK9245" s="5" t="s">
        <v>3622</v>
      </c>
    </row>
    <row r="9246" spans="35:37">
      <c r="AI9246" s="468">
        <v>51618</v>
      </c>
      <c r="AJ9246" s="5" t="s">
        <v>3619</v>
      </c>
      <c r="AK9246" s="5" t="s">
        <v>3623</v>
      </c>
    </row>
    <row r="9247" spans="35:37">
      <c r="AI9247" s="468">
        <v>51619</v>
      </c>
      <c r="AJ9247" s="5" t="s">
        <v>3621</v>
      </c>
      <c r="AK9247" s="5" t="s">
        <v>3625</v>
      </c>
    </row>
    <row r="9248" spans="35:37">
      <c r="AI9248" s="468">
        <v>51620</v>
      </c>
      <c r="AJ9248" s="5" t="s">
        <v>3579</v>
      </c>
      <c r="AK9248" s="5" t="s">
        <v>3627</v>
      </c>
    </row>
    <row r="9249" spans="35:37">
      <c r="AI9249" s="468">
        <v>51621</v>
      </c>
      <c r="AJ9249" s="5" t="s">
        <v>3624</v>
      </c>
      <c r="AK9249" s="5" t="s">
        <v>3622</v>
      </c>
    </row>
    <row r="9250" spans="35:37">
      <c r="AI9250" s="468">
        <v>51622</v>
      </c>
      <c r="AJ9250" s="5" t="s">
        <v>3626</v>
      </c>
      <c r="AK9250" s="5" t="s">
        <v>3623</v>
      </c>
    </row>
    <row r="9251" spans="35:37">
      <c r="AI9251" s="468">
        <v>51623</v>
      </c>
      <c r="AJ9251" s="5" t="s">
        <v>3628</v>
      </c>
      <c r="AK9251" s="5" t="s">
        <v>3625</v>
      </c>
    </row>
    <row r="9252" spans="35:37">
      <c r="AI9252" s="468">
        <v>51624</v>
      </c>
      <c r="AJ9252" s="5" t="s">
        <v>3617</v>
      </c>
      <c r="AK9252" s="5" t="s">
        <v>3627</v>
      </c>
    </row>
    <row r="9253" spans="35:37">
      <c r="AI9253" s="468">
        <v>51625</v>
      </c>
      <c r="AJ9253" s="5" t="s">
        <v>3619</v>
      </c>
      <c r="AK9253" s="5" t="s">
        <v>3618</v>
      </c>
    </row>
    <row r="9254" spans="35:37">
      <c r="AI9254" s="468">
        <v>51626</v>
      </c>
      <c r="AJ9254" s="5" t="s">
        <v>3621</v>
      </c>
      <c r="AK9254" s="5" t="s">
        <v>3620</v>
      </c>
    </row>
    <row r="9255" spans="35:37">
      <c r="AI9255" s="468">
        <v>51627</v>
      </c>
      <c r="AJ9255" s="5" t="s">
        <v>3579</v>
      </c>
      <c r="AK9255" s="5" t="s">
        <v>3622</v>
      </c>
    </row>
    <row r="9256" spans="35:37">
      <c r="AI9256" s="468">
        <v>51628</v>
      </c>
      <c r="AJ9256" s="5" t="s">
        <v>3624</v>
      </c>
      <c r="AK9256" s="5" t="s">
        <v>3623</v>
      </c>
    </row>
    <row r="9257" spans="35:37">
      <c r="AI9257" s="468">
        <v>51629</v>
      </c>
      <c r="AJ9257" s="5" t="s">
        <v>3626</v>
      </c>
      <c r="AK9257" s="5" t="s">
        <v>3625</v>
      </c>
    </row>
    <row r="9258" spans="35:37">
      <c r="AI9258" s="468">
        <v>51630</v>
      </c>
      <c r="AJ9258" s="5" t="s">
        <v>3628</v>
      </c>
      <c r="AK9258" s="5" t="s">
        <v>3627</v>
      </c>
    </row>
    <row r="9259" spans="35:37">
      <c r="AI9259" s="468">
        <v>51631</v>
      </c>
      <c r="AJ9259" s="5" t="s">
        <v>3617</v>
      </c>
      <c r="AK9259" s="5" t="s">
        <v>3618</v>
      </c>
    </row>
    <row r="9260" spans="35:37">
      <c r="AI9260" s="468">
        <v>51632</v>
      </c>
      <c r="AJ9260" s="5" t="s">
        <v>3619</v>
      </c>
      <c r="AK9260" s="5" t="s">
        <v>3620</v>
      </c>
    </row>
    <row r="9261" spans="35:37">
      <c r="AI9261" s="468">
        <v>51633</v>
      </c>
      <c r="AJ9261" s="5" t="s">
        <v>3621</v>
      </c>
      <c r="AK9261" s="5" t="s">
        <v>3622</v>
      </c>
    </row>
    <row r="9262" spans="35:37">
      <c r="AI9262" s="468">
        <v>51634</v>
      </c>
      <c r="AJ9262" s="5" t="s">
        <v>3579</v>
      </c>
      <c r="AK9262" s="5" t="s">
        <v>3623</v>
      </c>
    </row>
    <row r="9263" spans="35:37">
      <c r="AI9263" s="468">
        <v>51635</v>
      </c>
      <c r="AJ9263" s="5" t="s">
        <v>3624</v>
      </c>
      <c r="AK9263" s="5" t="s">
        <v>3625</v>
      </c>
    </row>
    <row r="9264" spans="35:37">
      <c r="AI9264" s="468">
        <v>51636</v>
      </c>
      <c r="AJ9264" s="5" t="s">
        <v>3626</v>
      </c>
      <c r="AK9264" s="5" t="s">
        <v>3627</v>
      </c>
    </row>
    <row r="9265" spans="35:37">
      <c r="AI9265" s="468">
        <v>51637</v>
      </c>
      <c r="AJ9265" s="5" t="s">
        <v>3628</v>
      </c>
      <c r="AK9265" s="5" t="s">
        <v>3618</v>
      </c>
    </row>
    <row r="9266" spans="35:37">
      <c r="AI9266" s="468">
        <v>51638</v>
      </c>
      <c r="AJ9266" s="5" t="s">
        <v>3617</v>
      </c>
      <c r="AK9266" s="5" t="s">
        <v>3620</v>
      </c>
    </row>
    <row r="9267" spans="35:37">
      <c r="AI9267" s="468">
        <v>51639</v>
      </c>
      <c r="AJ9267" s="5" t="s">
        <v>3619</v>
      </c>
      <c r="AK9267" s="5" t="s">
        <v>3622</v>
      </c>
    </row>
    <row r="9268" spans="35:37">
      <c r="AI9268" s="468">
        <v>51640</v>
      </c>
      <c r="AJ9268" s="5" t="s">
        <v>3621</v>
      </c>
      <c r="AK9268" s="5" t="s">
        <v>3623</v>
      </c>
    </row>
    <row r="9269" spans="35:37">
      <c r="AI9269" s="468">
        <v>51641</v>
      </c>
      <c r="AJ9269" s="5" t="s">
        <v>3579</v>
      </c>
      <c r="AK9269" s="5" t="s">
        <v>3625</v>
      </c>
    </row>
    <row r="9270" spans="35:37">
      <c r="AI9270" s="468">
        <v>51642</v>
      </c>
      <c r="AJ9270" s="5" t="s">
        <v>3624</v>
      </c>
      <c r="AK9270" s="5" t="s">
        <v>3627</v>
      </c>
    </row>
    <row r="9271" spans="35:37">
      <c r="AI9271" s="468">
        <v>51643</v>
      </c>
      <c r="AJ9271" s="5" t="s">
        <v>3626</v>
      </c>
      <c r="AK9271" s="5" t="s">
        <v>3618</v>
      </c>
    </row>
    <row r="9272" spans="35:37">
      <c r="AI9272" s="468">
        <v>51644</v>
      </c>
      <c r="AJ9272" s="5" t="s">
        <v>3628</v>
      </c>
      <c r="AK9272" s="5" t="s">
        <v>3620</v>
      </c>
    </row>
    <row r="9273" spans="35:37">
      <c r="AI9273" s="468">
        <v>51645</v>
      </c>
      <c r="AJ9273" s="5" t="s">
        <v>3617</v>
      </c>
      <c r="AK9273" s="5" t="s">
        <v>3622</v>
      </c>
    </row>
    <row r="9274" spans="35:37">
      <c r="AI9274" s="468">
        <v>51646</v>
      </c>
      <c r="AJ9274" s="5" t="s">
        <v>3619</v>
      </c>
      <c r="AK9274" s="5" t="s">
        <v>3623</v>
      </c>
    </row>
    <row r="9275" spans="35:37">
      <c r="AI9275" s="468">
        <v>51647</v>
      </c>
      <c r="AJ9275" s="5" t="s">
        <v>3621</v>
      </c>
      <c r="AK9275" s="5" t="s">
        <v>3625</v>
      </c>
    </row>
    <row r="9276" spans="35:37">
      <c r="AI9276" s="468">
        <v>51648</v>
      </c>
      <c r="AJ9276" s="5" t="s">
        <v>3579</v>
      </c>
      <c r="AK9276" s="5" t="s">
        <v>3627</v>
      </c>
    </row>
    <row r="9277" spans="35:37">
      <c r="AI9277" s="468">
        <v>51649</v>
      </c>
      <c r="AJ9277" s="5" t="s">
        <v>3624</v>
      </c>
      <c r="AK9277" s="5" t="s">
        <v>3618</v>
      </c>
    </row>
    <row r="9278" spans="35:37">
      <c r="AI9278" s="468">
        <v>51650</v>
      </c>
      <c r="AJ9278" s="5" t="s">
        <v>3626</v>
      </c>
      <c r="AK9278" s="5" t="s">
        <v>3620</v>
      </c>
    </row>
    <row r="9279" spans="35:37">
      <c r="AI9279" s="468">
        <v>51651</v>
      </c>
      <c r="AJ9279" s="5" t="s">
        <v>3628</v>
      </c>
      <c r="AK9279" s="5" t="s">
        <v>3623</v>
      </c>
    </row>
    <row r="9280" spans="35:37">
      <c r="AI9280" s="468">
        <v>51652</v>
      </c>
      <c r="AJ9280" s="5" t="s">
        <v>3617</v>
      </c>
      <c r="AK9280" s="5" t="s">
        <v>3625</v>
      </c>
    </row>
    <row r="9281" spans="35:37">
      <c r="AI9281" s="468">
        <v>51653</v>
      </c>
      <c r="AJ9281" s="5" t="s">
        <v>3619</v>
      </c>
      <c r="AK9281" s="5" t="s">
        <v>3627</v>
      </c>
    </row>
    <row r="9282" spans="35:37">
      <c r="AI9282" s="468">
        <v>51654</v>
      </c>
      <c r="AJ9282" s="5" t="s">
        <v>3621</v>
      </c>
      <c r="AK9282" s="5" t="s">
        <v>3618</v>
      </c>
    </row>
    <row r="9283" spans="35:37">
      <c r="AI9283" s="468">
        <v>51655</v>
      </c>
      <c r="AJ9283" s="5" t="s">
        <v>3579</v>
      </c>
      <c r="AK9283" s="5" t="s">
        <v>3620</v>
      </c>
    </row>
    <row r="9284" spans="35:37">
      <c r="AI9284" s="468">
        <v>51656</v>
      </c>
      <c r="AJ9284" s="5" t="s">
        <v>3624</v>
      </c>
      <c r="AK9284" s="5" t="s">
        <v>3622</v>
      </c>
    </row>
    <row r="9285" spans="35:37">
      <c r="AI9285" s="468">
        <v>51657</v>
      </c>
      <c r="AJ9285" s="5" t="s">
        <v>3626</v>
      </c>
      <c r="AK9285" s="5" t="s">
        <v>3623</v>
      </c>
    </row>
    <row r="9286" spans="35:37">
      <c r="AI9286" s="468">
        <v>51658</v>
      </c>
      <c r="AJ9286" s="5" t="s">
        <v>3628</v>
      </c>
      <c r="AK9286" s="5" t="s">
        <v>3625</v>
      </c>
    </row>
    <row r="9287" spans="35:37">
      <c r="AI9287" s="468">
        <v>51659</v>
      </c>
      <c r="AJ9287" s="5" t="s">
        <v>3617</v>
      </c>
      <c r="AK9287" s="5" t="s">
        <v>3627</v>
      </c>
    </row>
    <row r="9288" spans="35:37">
      <c r="AI9288" s="468">
        <v>51660</v>
      </c>
      <c r="AJ9288" s="5" t="s">
        <v>3619</v>
      </c>
      <c r="AK9288" s="5" t="s">
        <v>3618</v>
      </c>
    </row>
    <row r="9289" spans="35:37">
      <c r="AI9289" s="468">
        <v>51661</v>
      </c>
      <c r="AJ9289" s="5" t="s">
        <v>3621</v>
      </c>
      <c r="AK9289" s="5" t="s">
        <v>3620</v>
      </c>
    </row>
    <row r="9290" spans="35:37">
      <c r="AI9290" s="468">
        <v>51662</v>
      </c>
      <c r="AJ9290" s="5" t="s">
        <v>3579</v>
      </c>
      <c r="AK9290" s="5" t="s">
        <v>3622</v>
      </c>
    </row>
    <row r="9291" spans="35:37">
      <c r="AI9291" s="468">
        <v>51663</v>
      </c>
      <c r="AJ9291" s="5" t="s">
        <v>3624</v>
      </c>
      <c r="AK9291" s="5" t="s">
        <v>3623</v>
      </c>
    </row>
    <row r="9292" spans="35:37">
      <c r="AI9292" s="468">
        <v>51664</v>
      </c>
      <c r="AJ9292" s="5" t="s">
        <v>3626</v>
      </c>
      <c r="AK9292" s="5" t="s">
        <v>3625</v>
      </c>
    </row>
    <row r="9293" spans="35:37">
      <c r="AI9293" s="468">
        <v>51665</v>
      </c>
      <c r="AJ9293" s="5" t="s">
        <v>3628</v>
      </c>
      <c r="AK9293" s="5" t="s">
        <v>3627</v>
      </c>
    </row>
    <row r="9294" spans="35:37">
      <c r="AI9294" s="468">
        <v>51666</v>
      </c>
      <c r="AJ9294" s="5" t="s">
        <v>3617</v>
      </c>
      <c r="AK9294" s="5" t="s">
        <v>3618</v>
      </c>
    </row>
    <row r="9295" spans="35:37">
      <c r="AI9295" s="468">
        <v>51667</v>
      </c>
      <c r="AJ9295" s="5" t="s">
        <v>3619</v>
      </c>
      <c r="AK9295" s="5" t="s">
        <v>3620</v>
      </c>
    </row>
    <row r="9296" spans="35:37">
      <c r="AI9296" s="468">
        <v>51668</v>
      </c>
      <c r="AJ9296" s="5" t="s">
        <v>3621</v>
      </c>
      <c r="AK9296" s="5" t="s">
        <v>3622</v>
      </c>
    </row>
    <row r="9297" spans="35:37">
      <c r="AI9297" s="468">
        <v>51669</v>
      </c>
      <c r="AJ9297" s="5" t="s">
        <v>3579</v>
      </c>
      <c r="AK9297" s="5" t="s">
        <v>3623</v>
      </c>
    </row>
    <row r="9298" spans="35:37">
      <c r="AI9298" s="468">
        <v>51670</v>
      </c>
      <c r="AJ9298" s="5" t="s">
        <v>3624</v>
      </c>
      <c r="AK9298" s="5" t="s">
        <v>3625</v>
      </c>
    </row>
    <row r="9299" spans="35:37">
      <c r="AI9299" s="468">
        <v>51671</v>
      </c>
      <c r="AJ9299" s="5" t="s">
        <v>3626</v>
      </c>
      <c r="AK9299" s="5" t="s">
        <v>3627</v>
      </c>
    </row>
    <row r="9300" spans="35:37">
      <c r="AI9300" s="468">
        <v>51672</v>
      </c>
      <c r="AJ9300" s="5" t="s">
        <v>3628</v>
      </c>
      <c r="AK9300" s="5" t="s">
        <v>3618</v>
      </c>
    </row>
    <row r="9301" spans="35:37">
      <c r="AI9301" s="468">
        <v>51673</v>
      </c>
      <c r="AJ9301" s="5" t="s">
        <v>3617</v>
      </c>
      <c r="AK9301" s="5" t="s">
        <v>3620</v>
      </c>
    </row>
    <row r="9302" spans="35:37">
      <c r="AI9302" s="468">
        <v>51674</v>
      </c>
      <c r="AJ9302" s="5" t="s">
        <v>3619</v>
      </c>
      <c r="AK9302" s="5" t="s">
        <v>3622</v>
      </c>
    </row>
    <row r="9303" spans="35:37">
      <c r="AI9303" s="468">
        <v>51675</v>
      </c>
      <c r="AJ9303" s="5" t="s">
        <v>3621</v>
      </c>
      <c r="AK9303" s="5" t="s">
        <v>3623</v>
      </c>
    </row>
    <row r="9304" spans="35:37">
      <c r="AI9304" s="468">
        <v>51676</v>
      </c>
      <c r="AJ9304" s="5" t="s">
        <v>3579</v>
      </c>
      <c r="AK9304" s="5" t="s">
        <v>3625</v>
      </c>
    </row>
    <row r="9305" spans="35:37">
      <c r="AI9305" s="468">
        <v>51677</v>
      </c>
      <c r="AJ9305" s="5" t="s">
        <v>3624</v>
      </c>
      <c r="AK9305" s="5" t="s">
        <v>3627</v>
      </c>
    </row>
    <row r="9306" spans="35:37">
      <c r="AI9306" s="468">
        <v>51678</v>
      </c>
      <c r="AJ9306" s="5" t="s">
        <v>3626</v>
      </c>
      <c r="AK9306" s="5" t="s">
        <v>3618</v>
      </c>
    </row>
    <row r="9307" spans="35:37">
      <c r="AI9307" s="468">
        <v>51679</v>
      </c>
      <c r="AJ9307" s="5" t="s">
        <v>3628</v>
      </c>
      <c r="AK9307" s="5" t="s">
        <v>3620</v>
      </c>
    </row>
    <row r="9308" spans="35:37">
      <c r="AI9308" s="468">
        <v>51680</v>
      </c>
      <c r="AJ9308" s="5" t="s">
        <v>3617</v>
      </c>
      <c r="AK9308" s="5" t="s">
        <v>3625</v>
      </c>
    </row>
    <row r="9309" spans="35:37">
      <c r="AI9309" s="468">
        <v>51681</v>
      </c>
      <c r="AJ9309" s="5" t="s">
        <v>3619</v>
      </c>
      <c r="AK9309" s="5" t="s">
        <v>3627</v>
      </c>
    </row>
    <row r="9310" spans="35:37">
      <c r="AI9310" s="468">
        <v>51682</v>
      </c>
      <c r="AJ9310" s="5" t="s">
        <v>3621</v>
      </c>
      <c r="AK9310" s="5" t="s">
        <v>3618</v>
      </c>
    </row>
    <row r="9311" spans="35:37">
      <c r="AI9311" s="468">
        <v>51683</v>
      </c>
      <c r="AJ9311" s="5" t="s">
        <v>3579</v>
      </c>
      <c r="AK9311" s="5" t="s">
        <v>3620</v>
      </c>
    </row>
    <row r="9312" spans="35:37">
      <c r="AI9312" s="468">
        <v>51684</v>
      </c>
      <c r="AJ9312" s="5" t="s">
        <v>3624</v>
      </c>
      <c r="AK9312" s="5" t="s">
        <v>3622</v>
      </c>
    </row>
    <row r="9313" spans="35:37">
      <c r="AI9313" s="468">
        <v>51685</v>
      </c>
      <c r="AJ9313" s="5" t="s">
        <v>3626</v>
      </c>
      <c r="AK9313" s="5" t="s">
        <v>3623</v>
      </c>
    </row>
    <row r="9314" spans="35:37">
      <c r="AI9314" s="468">
        <v>51686</v>
      </c>
      <c r="AJ9314" s="5" t="s">
        <v>3628</v>
      </c>
      <c r="AK9314" s="5" t="s">
        <v>3625</v>
      </c>
    </row>
    <row r="9315" spans="35:37">
      <c r="AI9315" s="468">
        <v>51687</v>
      </c>
      <c r="AJ9315" s="5" t="s">
        <v>3617</v>
      </c>
      <c r="AK9315" s="5" t="s">
        <v>3627</v>
      </c>
    </row>
    <row r="9316" spans="35:37">
      <c r="AI9316" s="468">
        <v>51688</v>
      </c>
      <c r="AJ9316" s="5" t="s">
        <v>3619</v>
      </c>
      <c r="AK9316" s="5" t="s">
        <v>3618</v>
      </c>
    </row>
    <row r="9317" spans="35:37">
      <c r="AI9317" s="468">
        <v>51689</v>
      </c>
      <c r="AJ9317" s="5" t="s">
        <v>3621</v>
      </c>
      <c r="AK9317" s="5" t="s">
        <v>3620</v>
      </c>
    </row>
    <row r="9318" spans="35:37">
      <c r="AI9318" s="468">
        <v>51690</v>
      </c>
      <c r="AJ9318" s="5" t="s">
        <v>3579</v>
      </c>
      <c r="AK9318" s="5" t="s">
        <v>3622</v>
      </c>
    </row>
    <row r="9319" spans="35:37">
      <c r="AI9319" s="468">
        <v>51691</v>
      </c>
      <c r="AJ9319" s="5" t="s">
        <v>3624</v>
      </c>
      <c r="AK9319" s="5" t="s">
        <v>3623</v>
      </c>
    </row>
    <row r="9320" spans="35:37">
      <c r="AI9320" s="468">
        <v>51692</v>
      </c>
      <c r="AJ9320" s="5" t="s">
        <v>3626</v>
      </c>
      <c r="AK9320" s="5" t="s">
        <v>3625</v>
      </c>
    </row>
    <row r="9321" spans="35:37">
      <c r="AI9321" s="468">
        <v>51693</v>
      </c>
      <c r="AJ9321" s="5" t="s">
        <v>3628</v>
      </c>
      <c r="AK9321" s="5" t="s">
        <v>3627</v>
      </c>
    </row>
    <row r="9322" spans="35:37">
      <c r="AI9322" s="468">
        <v>51694</v>
      </c>
      <c r="AJ9322" s="5" t="s">
        <v>3617</v>
      </c>
      <c r="AK9322" s="5" t="s">
        <v>3618</v>
      </c>
    </row>
    <row r="9323" spans="35:37">
      <c r="AI9323" s="468">
        <v>51695</v>
      </c>
      <c r="AJ9323" s="5" t="s">
        <v>3619</v>
      </c>
      <c r="AK9323" s="5" t="s">
        <v>3620</v>
      </c>
    </row>
    <row r="9324" spans="35:37">
      <c r="AI9324" s="468">
        <v>51696</v>
      </c>
      <c r="AJ9324" s="5" t="s">
        <v>3621</v>
      </c>
      <c r="AK9324" s="5" t="s">
        <v>3622</v>
      </c>
    </row>
    <row r="9325" spans="35:37">
      <c r="AI9325" s="468">
        <v>51697</v>
      </c>
      <c r="AJ9325" s="5" t="s">
        <v>3579</v>
      </c>
      <c r="AK9325" s="5" t="s">
        <v>3623</v>
      </c>
    </row>
    <row r="9326" spans="35:37">
      <c r="AI9326" s="468">
        <v>51698</v>
      </c>
      <c r="AJ9326" s="5" t="s">
        <v>3624</v>
      </c>
      <c r="AK9326" s="5" t="s">
        <v>3625</v>
      </c>
    </row>
    <row r="9327" spans="35:37">
      <c r="AI9327" s="468">
        <v>51699</v>
      </c>
      <c r="AJ9327" s="5" t="s">
        <v>3626</v>
      </c>
      <c r="AK9327" s="5" t="s">
        <v>3627</v>
      </c>
    </row>
    <row r="9328" spans="35:37">
      <c r="AI9328" s="468">
        <v>51700</v>
      </c>
      <c r="AJ9328" s="5" t="s">
        <v>3628</v>
      </c>
      <c r="AK9328" s="5" t="s">
        <v>3618</v>
      </c>
    </row>
    <row r="9329" spans="35:37">
      <c r="AI9329" s="468">
        <v>51701</v>
      </c>
      <c r="AJ9329" s="5" t="s">
        <v>3617</v>
      </c>
      <c r="AK9329" s="5" t="s">
        <v>3620</v>
      </c>
    </row>
    <row r="9330" spans="35:37">
      <c r="AI9330" s="468">
        <v>51702</v>
      </c>
      <c r="AJ9330" s="5" t="s">
        <v>3619</v>
      </c>
      <c r="AK9330" s="5" t="s">
        <v>3622</v>
      </c>
    </row>
    <row r="9331" spans="35:37">
      <c r="AI9331" s="468">
        <v>51703</v>
      </c>
      <c r="AJ9331" s="5" t="s">
        <v>3621</v>
      </c>
      <c r="AK9331" s="5" t="s">
        <v>3623</v>
      </c>
    </row>
    <row r="9332" spans="35:37">
      <c r="AI9332" s="468">
        <v>51704</v>
      </c>
      <c r="AJ9332" s="5" t="s">
        <v>3579</v>
      </c>
      <c r="AK9332" s="5" t="s">
        <v>3625</v>
      </c>
    </row>
    <row r="9333" spans="35:37">
      <c r="AI9333" s="468">
        <v>51705</v>
      </c>
      <c r="AJ9333" s="5" t="s">
        <v>3624</v>
      </c>
      <c r="AK9333" s="5" t="s">
        <v>3627</v>
      </c>
    </row>
    <row r="9334" spans="35:37">
      <c r="AI9334" s="468">
        <v>51706</v>
      </c>
      <c r="AJ9334" s="5" t="s">
        <v>3626</v>
      </c>
      <c r="AK9334" s="5" t="s">
        <v>3618</v>
      </c>
    </row>
    <row r="9335" spans="35:37">
      <c r="AI9335" s="468">
        <v>51707</v>
      </c>
      <c r="AJ9335" s="5" t="s">
        <v>3628</v>
      </c>
      <c r="AK9335" s="5" t="s">
        <v>3620</v>
      </c>
    </row>
    <row r="9336" spans="35:37">
      <c r="AI9336" s="468">
        <v>51708</v>
      </c>
      <c r="AJ9336" s="5" t="s">
        <v>3617</v>
      </c>
      <c r="AK9336" s="5" t="s">
        <v>3622</v>
      </c>
    </row>
    <row r="9337" spans="35:37">
      <c r="AI9337" s="468">
        <v>51709</v>
      </c>
      <c r="AJ9337" s="5" t="s">
        <v>3619</v>
      </c>
      <c r="AK9337" s="5" t="s">
        <v>3623</v>
      </c>
    </row>
    <row r="9338" spans="35:37">
      <c r="AI9338" s="468">
        <v>51710</v>
      </c>
      <c r="AJ9338" s="5" t="s">
        <v>3621</v>
      </c>
      <c r="AK9338" s="5" t="s">
        <v>3627</v>
      </c>
    </row>
    <row r="9339" spans="35:37">
      <c r="AI9339" s="468">
        <v>51711</v>
      </c>
      <c r="AJ9339" s="5" t="s">
        <v>3579</v>
      </c>
      <c r="AK9339" s="5" t="s">
        <v>3618</v>
      </c>
    </row>
    <row r="9340" spans="35:37">
      <c r="AI9340" s="468">
        <v>51712</v>
      </c>
      <c r="AJ9340" s="5" t="s">
        <v>3624</v>
      </c>
      <c r="AK9340" s="5" t="s">
        <v>3620</v>
      </c>
    </row>
    <row r="9341" spans="35:37">
      <c r="AI9341" s="468">
        <v>51713</v>
      </c>
      <c r="AJ9341" s="5" t="s">
        <v>3626</v>
      </c>
      <c r="AK9341" s="5" t="s">
        <v>3622</v>
      </c>
    </row>
    <row r="9342" spans="35:37">
      <c r="AI9342" s="468">
        <v>51714</v>
      </c>
      <c r="AJ9342" s="5" t="s">
        <v>3628</v>
      </c>
      <c r="AK9342" s="5" t="s">
        <v>3623</v>
      </c>
    </row>
    <row r="9343" spans="35:37">
      <c r="AI9343" s="468">
        <v>51715</v>
      </c>
      <c r="AJ9343" s="5" t="s">
        <v>3617</v>
      </c>
      <c r="AK9343" s="5" t="s">
        <v>3625</v>
      </c>
    </row>
    <row r="9344" spans="35:37">
      <c r="AI9344" s="468">
        <v>51716</v>
      </c>
      <c r="AJ9344" s="5" t="s">
        <v>3619</v>
      </c>
      <c r="AK9344" s="5" t="s">
        <v>3627</v>
      </c>
    </row>
    <row r="9345" spans="35:37">
      <c r="AI9345" s="468">
        <v>51717</v>
      </c>
      <c r="AJ9345" s="5" t="s">
        <v>3621</v>
      </c>
      <c r="AK9345" s="5" t="s">
        <v>3618</v>
      </c>
    </row>
    <row r="9346" spans="35:37">
      <c r="AI9346" s="468">
        <v>51718</v>
      </c>
      <c r="AJ9346" s="5" t="s">
        <v>3579</v>
      </c>
      <c r="AK9346" s="5" t="s">
        <v>3620</v>
      </c>
    </row>
    <row r="9347" spans="35:37">
      <c r="AI9347" s="468">
        <v>51719</v>
      </c>
      <c r="AJ9347" s="5" t="s">
        <v>3624</v>
      </c>
      <c r="AK9347" s="5" t="s">
        <v>3622</v>
      </c>
    </row>
    <row r="9348" spans="35:37">
      <c r="AI9348" s="468">
        <v>51720</v>
      </c>
      <c r="AJ9348" s="5" t="s">
        <v>3626</v>
      </c>
      <c r="AK9348" s="5" t="s">
        <v>3623</v>
      </c>
    </row>
    <row r="9349" spans="35:37">
      <c r="AI9349" s="468">
        <v>51721</v>
      </c>
      <c r="AJ9349" s="5" t="s">
        <v>3628</v>
      </c>
      <c r="AK9349" s="5" t="s">
        <v>3625</v>
      </c>
    </row>
    <row r="9350" spans="35:37">
      <c r="AI9350" s="468">
        <v>51722</v>
      </c>
      <c r="AJ9350" s="5" t="s">
        <v>3617</v>
      </c>
      <c r="AK9350" s="5" t="s">
        <v>3627</v>
      </c>
    </row>
    <row r="9351" spans="35:37">
      <c r="AI9351" s="468">
        <v>51723</v>
      </c>
      <c r="AJ9351" s="5" t="s">
        <v>3619</v>
      </c>
      <c r="AK9351" s="5" t="s">
        <v>3618</v>
      </c>
    </row>
    <row r="9352" spans="35:37">
      <c r="AI9352" s="468">
        <v>51724</v>
      </c>
      <c r="AJ9352" s="5" t="s">
        <v>3621</v>
      </c>
      <c r="AK9352" s="5" t="s">
        <v>3620</v>
      </c>
    </row>
    <row r="9353" spans="35:37">
      <c r="AI9353" s="468">
        <v>51725</v>
      </c>
      <c r="AJ9353" s="5" t="s">
        <v>3579</v>
      </c>
      <c r="AK9353" s="5" t="s">
        <v>3622</v>
      </c>
    </row>
    <row r="9354" spans="35:37">
      <c r="AI9354" s="468">
        <v>51726</v>
      </c>
      <c r="AJ9354" s="5" t="s">
        <v>3624</v>
      </c>
      <c r="AK9354" s="5" t="s">
        <v>3623</v>
      </c>
    </row>
    <row r="9355" spans="35:37">
      <c r="AI9355" s="468">
        <v>51727</v>
      </c>
      <c r="AJ9355" s="5" t="s">
        <v>3626</v>
      </c>
      <c r="AK9355" s="5" t="s">
        <v>3625</v>
      </c>
    </row>
    <row r="9356" spans="35:37">
      <c r="AI9356" s="468">
        <v>51728</v>
      </c>
      <c r="AJ9356" s="5" t="s">
        <v>3628</v>
      </c>
      <c r="AK9356" s="5" t="s">
        <v>3627</v>
      </c>
    </row>
    <row r="9357" spans="35:37">
      <c r="AI9357" s="468">
        <v>51729</v>
      </c>
      <c r="AJ9357" s="5" t="s">
        <v>3617</v>
      </c>
      <c r="AK9357" s="5" t="s">
        <v>3618</v>
      </c>
    </row>
    <row r="9358" spans="35:37">
      <c r="AI9358" s="468">
        <v>51730</v>
      </c>
      <c r="AJ9358" s="5" t="s">
        <v>3619</v>
      </c>
      <c r="AK9358" s="5" t="s">
        <v>3620</v>
      </c>
    </row>
    <row r="9359" spans="35:37">
      <c r="AI9359" s="468">
        <v>51731</v>
      </c>
      <c r="AJ9359" s="5" t="s">
        <v>3621</v>
      </c>
      <c r="AK9359" s="5" t="s">
        <v>3622</v>
      </c>
    </row>
    <row r="9360" spans="35:37">
      <c r="AI9360" s="468">
        <v>51732</v>
      </c>
      <c r="AJ9360" s="5" t="s">
        <v>3579</v>
      </c>
      <c r="AK9360" s="5" t="s">
        <v>3623</v>
      </c>
    </row>
    <row r="9361" spans="35:37">
      <c r="AI9361" s="468">
        <v>51733</v>
      </c>
      <c r="AJ9361" s="5" t="s">
        <v>3624</v>
      </c>
      <c r="AK9361" s="5" t="s">
        <v>3625</v>
      </c>
    </row>
    <row r="9362" spans="35:37">
      <c r="AI9362" s="468">
        <v>51734</v>
      </c>
      <c r="AJ9362" s="5" t="s">
        <v>3626</v>
      </c>
      <c r="AK9362" s="5" t="s">
        <v>3627</v>
      </c>
    </row>
    <row r="9363" spans="35:37">
      <c r="AI9363" s="468">
        <v>51735</v>
      </c>
      <c r="AJ9363" s="5" t="s">
        <v>3628</v>
      </c>
      <c r="AK9363" s="5" t="s">
        <v>3618</v>
      </c>
    </row>
    <row r="9364" spans="35:37">
      <c r="AI9364" s="468">
        <v>51736</v>
      </c>
      <c r="AJ9364" s="5" t="s">
        <v>3617</v>
      </c>
      <c r="AK9364" s="5" t="s">
        <v>3620</v>
      </c>
    </row>
    <row r="9365" spans="35:37">
      <c r="AI9365" s="468">
        <v>51737</v>
      </c>
      <c r="AJ9365" s="5" t="s">
        <v>3619</v>
      </c>
      <c r="AK9365" s="5" t="s">
        <v>3622</v>
      </c>
    </row>
    <row r="9366" spans="35:37">
      <c r="AI9366" s="468">
        <v>51738</v>
      </c>
      <c r="AJ9366" s="5" t="s">
        <v>3621</v>
      </c>
      <c r="AK9366" s="5" t="s">
        <v>3623</v>
      </c>
    </row>
    <row r="9367" spans="35:37">
      <c r="AI9367" s="468">
        <v>51739</v>
      </c>
      <c r="AJ9367" s="5" t="s">
        <v>3579</v>
      </c>
      <c r="AK9367" s="5" t="s">
        <v>3625</v>
      </c>
    </row>
    <row r="9368" spans="35:37">
      <c r="AI9368" s="468">
        <v>51740</v>
      </c>
      <c r="AJ9368" s="5" t="s">
        <v>3624</v>
      </c>
      <c r="AK9368" s="5" t="s">
        <v>3618</v>
      </c>
    </row>
    <row r="9369" spans="35:37">
      <c r="AI9369" s="468">
        <v>51741</v>
      </c>
      <c r="AJ9369" s="5" t="s">
        <v>3626</v>
      </c>
      <c r="AK9369" s="5" t="s">
        <v>3620</v>
      </c>
    </row>
    <row r="9370" spans="35:37">
      <c r="AI9370" s="468">
        <v>51742</v>
      </c>
      <c r="AJ9370" s="5" t="s">
        <v>3628</v>
      </c>
      <c r="AK9370" s="5" t="s">
        <v>3622</v>
      </c>
    </row>
    <row r="9371" spans="35:37">
      <c r="AI9371" s="468">
        <v>51743</v>
      </c>
      <c r="AJ9371" s="5" t="s">
        <v>3617</v>
      </c>
      <c r="AK9371" s="5" t="s">
        <v>3623</v>
      </c>
    </row>
    <row r="9372" spans="35:37">
      <c r="AI9372" s="468">
        <v>51744</v>
      </c>
      <c r="AJ9372" s="5" t="s">
        <v>3619</v>
      </c>
      <c r="AK9372" s="5" t="s">
        <v>3625</v>
      </c>
    </row>
    <row r="9373" spans="35:37">
      <c r="AI9373" s="468">
        <v>51745</v>
      </c>
      <c r="AJ9373" s="5" t="s">
        <v>3621</v>
      </c>
      <c r="AK9373" s="5" t="s">
        <v>3627</v>
      </c>
    </row>
    <row r="9374" spans="35:37">
      <c r="AI9374" s="468">
        <v>51746</v>
      </c>
      <c r="AJ9374" s="5" t="s">
        <v>3579</v>
      </c>
      <c r="AK9374" s="5" t="s">
        <v>3618</v>
      </c>
    </row>
    <row r="9375" spans="35:37">
      <c r="AI9375" s="468">
        <v>51747</v>
      </c>
      <c r="AJ9375" s="5" t="s">
        <v>3624</v>
      </c>
      <c r="AK9375" s="5" t="s">
        <v>3620</v>
      </c>
    </row>
    <row r="9376" spans="35:37">
      <c r="AI9376" s="468">
        <v>51748</v>
      </c>
      <c r="AJ9376" s="5" t="s">
        <v>3626</v>
      </c>
      <c r="AK9376" s="5" t="s">
        <v>3622</v>
      </c>
    </row>
    <row r="9377" spans="35:37">
      <c r="AI9377" s="468">
        <v>51749</v>
      </c>
      <c r="AJ9377" s="5" t="s">
        <v>3628</v>
      </c>
      <c r="AK9377" s="5" t="s">
        <v>3623</v>
      </c>
    </row>
    <row r="9378" spans="35:37">
      <c r="AI9378" s="468">
        <v>51750</v>
      </c>
      <c r="AJ9378" s="5" t="s">
        <v>3617</v>
      </c>
      <c r="AK9378" s="5" t="s">
        <v>3625</v>
      </c>
    </row>
    <row r="9379" spans="35:37">
      <c r="AI9379" s="468">
        <v>51751</v>
      </c>
      <c r="AJ9379" s="5" t="s">
        <v>3619</v>
      </c>
      <c r="AK9379" s="5" t="s">
        <v>3627</v>
      </c>
    </row>
    <row r="9380" spans="35:37">
      <c r="AI9380" s="468">
        <v>51752</v>
      </c>
      <c r="AJ9380" s="5" t="s">
        <v>3621</v>
      </c>
      <c r="AK9380" s="5" t="s">
        <v>3618</v>
      </c>
    </row>
    <row r="9381" spans="35:37">
      <c r="AI9381" s="468">
        <v>51753</v>
      </c>
      <c r="AJ9381" s="5" t="s">
        <v>3579</v>
      </c>
      <c r="AK9381" s="5" t="s">
        <v>3620</v>
      </c>
    </row>
    <row r="9382" spans="35:37">
      <c r="AI9382" s="468">
        <v>51754</v>
      </c>
      <c r="AJ9382" s="5" t="s">
        <v>3624</v>
      </c>
      <c r="AK9382" s="5" t="s">
        <v>3622</v>
      </c>
    </row>
    <row r="9383" spans="35:37">
      <c r="AI9383" s="468">
        <v>51755</v>
      </c>
      <c r="AJ9383" s="5" t="s">
        <v>3626</v>
      </c>
      <c r="AK9383" s="5" t="s">
        <v>3623</v>
      </c>
    </row>
    <row r="9384" spans="35:37">
      <c r="AI9384" s="468">
        <v>51756</v>
      </c>
      <c r="AJ9384" s="5" t="s">
        <v>3628</v>
      </c>
      <c r="AK9384" s="5" t="s">
        <v>3625</v>
      </c>
    </row>
    <row r="9385" spans="35:37">
      <c r="AI9385" s="468">
        <v>51757</v>
      </c>
      <c r="AJ9385" s="5" t="s">
        <v>3617</v>
      </c>
      <c r="AK9385" s="5" t="s">
        <v>3627</v>
      </c>
    </row>
    <row r="9386" spans="35:37">
      <c r="AI9386" s="468">
        <v>51758</v>
      </c>
      <c r="AJ9386" s="5" t="s">
        <v>3619</v>
      </c>
      <c r="AK9386" s="5" t="s">
        <v>3618</v>
      </c>
    </row>
    <row r="9387" spans="35:37">
      <c r="AI9387" s="468">
        <v>51759</v>
      </c>
      <c r="AJ9387" s="5" t="s">
        <v>3621</v>
      </c>
      <c r="AK9387" s="5" t="s">
        <v>3620</v>
      </c>
    </row>
    <row r="9388" spans="35:37">
      <c r="AI9388" s="468">
        <v>51760</v>
      </c>
      <c r="AJ9388" s="5" t="s">
        <v>3579</v>
      </c>
      <c r="AK9388" s="5" t="s">
        <v>3622</v>
      </c>
    </row>
    <row r="9389" spans="35:37">
      <c r="AI9389" s="468">
        <v>51761</v>
      </c>
      <c r="AJ9389" s="5" t="s">
        <v>3624</v>
      </c>
      <c r="AK9389" s="5" t="s">
        <v>3623</v>
      </c>
    </row>
    <row r="9390" spans="35:37">
      <c r="AI9390" s="468">
        <v>51762</v>
      </c>
      <c r="AJ9390" s="5" t="s">
        <v>3626</v>
      </c>
      <c r="AK9390" s="5" t="s">
        <v>3625</v>
      </c>
    </row>
    <row r="9391" spans="35:37">
      <c r="AI9391" s="468">
        <v>51763</v>
      </c>
      <c r="AJ9391" s="5" t="s">
        <v>3628</v>
      </c>
      <c r="AK9391" s="5" t="s">
        <v>3627</v>
      </c>
    </row>
    <row r="9392" spans="35:37">
      <c r="AI9392" s="468">
        <v>51764</v>
      </c>
      <c r="AJ9392" s="5" t="s">
        <v>3617</v>
      </c>
      <c r="AK9392" s="5" t="s">
        <v>3618</v>
      </c>
    </row>
    <row r="9393" spans="35:37">
      <c r="AI9393" s="468">
        <v>51765</v>
      </c>
      <c r="AJ9393" s="5" t="s">
        <v>3619</v>
      </c>
      <c r="AK9393" s="5" t="s">
        <v>3620</v>
      </c>
    </row>
    <row r="9394" spans="35:37">
      <c r="AI9394" s="468">
        <v>51766</v>
      </c>
      <c r="AJ9394" s="5" t="s">
        <v>3621</v>
      </c>
      <c r="AK9394" s="5" t="s">
        <v>3622</v>
      </c>
    </row>
    <row r="9395" spans="35:37">
      <c r="AI9395" s="468">
        <v>51767</v>
      </c>
      <c r="AJ9395" s="5" t="s">
        <v>3579</v>
      </c>
      <c r="AK9395" s="5" t="s">
        <v>3623</v>
      </c>
    </row>
    <row r="9396" spans="35:37">
      <c r="AI9396" s="468">
        <v>51768</v>
      </c>
      <c r="AJ9396" s="5" t="s">
        <v>3624</v>
      </c>
      <c r="AK9396" s="5" t="s">
        <v>3625</v>
      </c>
    </row>
    <row r="9397" spans="35:37">
      <c r="AI9397" s="468">
        <v>51769</v>
      </c>
      <c r="AJ9397" s="5" t="s">
        <v>3626</v>
      </c>
      <c r="AK9397" s="5" t="s">
        <v>3620</v>
      </c>
    </row>
    <row r="9398" spans="35:37">
      <c r="AI9398" s="468">
        <v>51770</v>
      </c>
      <c r="AJ9398" s="5" t="s">
        <v>3628</v>
      </c>
      <c r="AK9398" s="5" t="s">
        <v>3622</v>
      </c>
    </row>
    <row r="9399" spans="35:37">
      <c r="AI9399" s="468">
        <v>51771</v>
      </c>
      <c r="AJ9399" s="5" t="s">
        <v>3617</v>
      </c>
      <c r="AK9399" s="5" t="s">
        <v>3623</v>
      </c>
    </row>
    <row r="9400" spans="35:37">
      <c r="AI9400" s="468">
        <v>51772</v>
      </c>
      <c r="AJ9400" s="5" t="s">
        <v>3619</v>
      </c>
      <c r="AK9400" s="5" t="s">
        <v>3625</v>
      </c>
    </row>
    <row r="9401" spans="35:37">
      <c r="AI9401" s="468">
        <v>51773</v>
      </c>
      <c r="AJ9401" s="5" t="s">
        <v>3621</v>
      </c>
      <c r="AK9401" s="5" t="s">
        <v>3627</v>
      </c>
    </row>
    <row r="9402" spans="35:37">
      <c r="AI9402" s="468">
        <v>51774</v>
      </c>
      <c r="AJ9402" s="5" t="s">
        <v>3579</v>
      </c>
      <c r="AK9402" s="5" t="s">
        <v>3618</v>
      </c>
    </row>
    <row r="9403" spans="35:37">
      <c r="AI9403" s="468">
        <v>51775</v>
      </c>
      <c r="AJ9403" s="5" t="s">
        <v>3624</v>
      </c>
      <c r="AK9403" s="5" t="s">
        <v>3620</v>
      </c>
    </row>
    <row r="9404" spans="35:37">
      <c r="AI9404" s="468">
        <v>51776</v>
      </c>
      <c r="AJ9404" s="5" t="s">
        <v>3626</v>
      </c>
      <c r="AK9404" s="5" t="s">
        <v>3622</v>
      </c>
    </row>
    <row r="9405" spans="35:37">
      <c r="AI9405" s="468">
        <v>51777</v>
      </c>
      <c r="AJ9405" s="5" t="s">
        <v>3628</v>
      </c>
      <c r="AK9405" s="5" t="s">
        <v>3623</v>
      </c>
    </row>
    <row r="9406" spans="35:37">
      <c r="AI9406" s="468">
        <v>51778</v>
      </c>
      <c r="AJ9406" s="5" t="s">
        <v>3617</v>
      </c>
      <c r="AK9406" s="5" t="s">
        <v>3625</v>
      </c>
    </row>
    <row r="9407" spans="35:37">
      <c r="AI9407" s="468">
        <v>51779</v>
      </c>
      <c r="AJ9407" s="5" t="s">
        <v>3619</v>
      </c>
      <c r="AK9407" s="5" t="s">
        <v>3627</v>
      </c>
    </row>
    <row r="9408" spans="35:37">
      <c r="AI9408" s="468">
        <v>51780</v>
      </c>
      <c r="AJ9408" s="5" t="s">
        <v>3621</v>
      </c>
      <c r="AK9408" s="5" t="s">
        <v>3618</v>
      </c>
    </row>
    <row r="9409" spans="35:37">
      <c r="AI9409" s="468">
        <v>51781</v>
      </c>
      <c r="AJ9409" s="5" t="s">
        <v>3579</v>
      </c>
      <c r="AK9409" s="5" t="s">
        <v>3620</v>
      </c>
    </row>
    <row r="9410" spans="35:37">
      <c r="AI9410" s="468">
        <v>51782</v>
      </c>
      <c r="AJ9410" s="5" t="s">
        <v>3624</v>
      </c>
      <c r="AK9410" s="5" t="s">
        <v>3622</v>
      </c>
    </row>
    <row r="9411" spans="35:37">
      <c r="AI9411" s="468">
        <v>51783</v>
      </c>
      <c r="AJ9411" s="5" t="s">
        <v>3626</v>
      </c>
      <c r="AK9411" s="5" t="s">
        <v>3623</v>
      </c>
    </row>
    <row r="9412" spans="35:37">
      <c r="AI9412" s="468">
        <v>51784</v>
      </c>
      <c r="AJ9412" s="5" t="s">
        <v>3628</v>
      </c>
      <c r="AK9412" s="5" t="s">
        <v>3625</v>
      </c>
    </row>
    <row r="9413" spans="35:37">
      <c r="AI9413" s="468">
        <v>51785</v>
      </c>
      <c r="AJ9413" s="5" t="s">
        <v>3617</v>
      </c>
      <c r="AK9413" s="5" t="s">
        <v>3627</v>
      </c>
    </row>
    <row r="9414" spans="35:37">
      <c r="AI9414" s="468">
        <v>51786</v>
      </c>
      <c r="AJ9414" s="5" t="s">
        <v>3619</v>
      </c>
      <c r="AK9414" s="5" t="s">
        <v>3618</v>
      </c>
    </row>
    <row r="9415" spans="35:37">
      <c r="AI9415" s="468">
        <v>51787</v>
      </c>
      <c r="AJ9415" s="5" t="s">
        <v>3621</v>
      </c>
      <c r="AK9415" s="5" t="s">
        <v>3620</v>
      </c>
    </row>
    <row r="9416" spans="35:37">
      <c r="AI9416" s="468">
        <v>51788</v>
      </c>
      <c r="AJ9416" s="5" t="s">
        <v>3579</v>
      </c>
      <c r="AK9416" s="5" t="s">
        <v>3622</v>
      </c>
    </row>
    <row r="9417" spans="35:37">
      <c r="AI9417" s="468">
        <v>51789</v>
      </c>
      <c r="AJ9417" s="5" t="s">
        <v>3624</v>
      </c>
      <c r="AK9417" s="5" t="s">
        <v>3623</v>
      </c>
    </row>
    <row r="9418" spans="35:37">
      <c r="AI9418" s="468">
        <v>51790</v>
      </c>
      <c r="AJ9418" s="5" t="s">
        <v>3626</v>
      </c>
      <c r="AK9418" s="5" t="s">
        <v>3625</v>
      </c>
    </row>
    <row r="9419" spans="35:37">
      <c r="AI9419" s="468">
        <v>51791</v>
      </c>
      <c r="AJ9419" s="5" t="s">
        <v>3628</v>
      </c>
      <c r="AK9419" s="5" t="s">
        <v>3627</v>
      </c>
    </row>
    <row r="9420" spans="35:37">
      <c r="AI9420" s="468">
        <v>51792</v>
      </c>
      <c r="AJ9420" s="5" t="s">
        <v>3617</v>
      </c>
      <c r="AK9420" s="5" t="s">
        <v>3618</v>
      </c>
    </row>
    <row r="9421" spans="35:37">
      <c r="AI9421" s="468">
        <v>51793</v>
      </c>
      <c r="AJ9421" s="5" t="s">
        <v>3619</v>
      </c>
      <c r="AK9421" s="5" t="s">
        <v>3620</v>
      </c>
    </row>
    <row r="9422" spans="35:37">
      <c r="AI9422" s="468">
        <v>51794</v>
      </c>
      <c r="AJ9422" s="5" t="s">
        <v>3621</v>
      </c>
      <c r="AK9422" s="5" t="s">
        <v>3622</v>
      </c>
    </row>
    <row r="9423" spans="35:37">
      <c r="AI9423" s="468">
        <v>51795</v>
      </c>
      <c r="AJ9423" s="5" t="s">
        <v>3579</v>
      </c>
      <c r="AK9423" s="5" t="s">
        <v>3623</v>
      </c>
    </row>
    <row r="9424" spans="35:37">
      <c r="AI9424" s="468">
        <v>51796</v>
      </c>
      <c r="AJ9424" s="5" t="s">
        <v>3624</v>
      </c>
      <c r="AK9424" s="5" t="s">
        <v>3625</v>
      </c>
    </row>
    <row r="9425" spans="35:37">
      <c r="AI9425" s="468">
        <v>51797</v>
      </c>
      <c r="AJ9425" s="5" t="s">
        <v>3626</v>
      </c>
      <c r="AK9425" s="5" t="s">
        <v>3627</v>
      </c>
    </row>
    <row r="9426" spans="35:37">
      <c r="AI9426" s="468">
        <v>51798</v>
      </c>
      <c r="AJ9426" s="5" t="s">
        <v>3628</v>
      </c>
      <c r="AK9426" s="5" t="s">
        <v>3618</v>
      </c>
    </row>
    <row r="9427" spans="35:37">
      <c r="AI9427" s="468">
        <v>51799</v>
      </c>
      <c r="AJ9427" s="5" t="s">
        <v>3617</v>
      </c>
      <c r="AK9427" s="5" t="s">
        <v>3622</v>
      </c>
    </row>
    <row r="9428" spans="35:37">
      <c r="AI9428" s="468">
        <v>51800</v>
      </c>
      <c r="AJ9428" s="5" t="s">
        <v>3619</v>
      </c>
      <c r="AK9428" s="5" t="s">
        <v>3623</v>
      </c>
    </row>
    <row r="9429" spans="35:37">
      <c r="AI9429" s="468">
        <v>51801</v>
      </c>
      <c r="AJ9429" s="5" t="s">
        <v>3621</v>
      </c>
      <c r="AK9429" s="5" t="s">
        <v>3625</v>
      </c>
    </row>
    <row r="9430" spans="35:37">
      <c r="AI9430" s="468">
        <v>51802</v>
      </c>
      <c r="AJ9430" s="5" t="s">
        <v>3579</v>
      </c>
      <c r="AK9430" s="5" t="s">
        <v>3627</v>
      </c>
    </row>
    <row r="9431" spans="35:37">
      <c r="AI9431" s="468">
        <v>51803</v>
      </c>
      <c r="AJ9431" s="5" t="s">
        <v>3624</v>
      </c>
      <c r="AK9431" s="5" t="s">
        <v>3618</v>
      </c>
    </row>
    <row r="9432" spans="35:37">
      <c r="AI9432" s="468">
        <v>51804</v>
      </c>
      <c r="AJ9432" s="5" t="s">
        <v>3626</v>
      </c>
      <c r="AK9432" s="5" t="s">
        <v>3620</v>
      </c>
    </row>
    <row r="9433" spans="35:37">
      <c r="AI9433" s="468">
        <v>51805</v>
      </c>
      <c r="AJ9433" s="5" t="s">
        <v>3628</v>
      </c>
      <c r="AK9433" s="5" t="s">
        <v>3622</v>
      </c>
    </row>
    <row r="9434" spans="35:37">
      <c r="AI9434" s="468">
        <v>51806</v>
      </c>
      <c r="AJ9434" s="5" t="s">
        <v>3617</v>
      </c>
      <c r="AK9434" s="5" t="s">
        <v>3623</v>
      </c>
    </row>
    <row r="9435" spans="35:37">
      <c r="AI9435" s="468">
        <v>51807</v>
      </c>
      <c r="AJ9435" s="5" t="s">
        <v>3619</v>
      </c>
      <c r="AK9435" s="5" t="s">
        <v>3625</v>
      </c>
    </row>
    <row r="9436" spans="35:37">
      <c r="AI9436" s="468">
        <v>51808</v>
      </c>
      <c r="AJ9436" s="5" t="s">
        <v>3621</v>
      </c>
      <c r="AK9436" s="5" t="s">
        <v>3627</v>
      </c>
    </row>
    <row r="9437" spans="35:37">
      <c r="AI9437" s="468">
        <v>51809</v>
      </c>
      <c r="AJ9437" s="5" t="s">
        <v>3579</v>
      </c>
      <c r="AK9437" s="5" t="s">
        <v>3618</v>
      </c>
    </row>
    <row r="9438" spans="35:37">
      <c r="AI9438" s="468">
        <v>51810</v>
      </c>
      <c r="AJ9438" s="5" t="s">
        <v>3624</v>
      </c>
      <c r="AK9438" s="5" t="s">
        <v>3620</v>
      </c>
    </row>
    <row r="9439" spans="35:37">
      <c r="AI9439" s="468">
        <v>51811</v>
      </c>
      <c r="AJ9439" s="5" t="s">
        <v>3626</v>
      </c>
      <c r="AK9439" s="5" t="s">
        <v>3622</v>
      </c>
    </row>
    <row r="9440" spans="35:37">
      <c r="AI9440" s="468">
        <v>51812</v>
      </c>
      <c r="AJ9440" s="5" t="s">
        <v>3628</v>
      </c>
      <c r="AK9440" s="5" t="s">
        <v>3623</v>
      </c>
    </row>
    <row r="9441" spans="35:37">
      <c r="AI9441" s="468">
        <v>51813</v>
      </c>
      <c r="AJ9441" s="5" t="s">
        <v>3617</v>
      </c>
      <c r="AK9441" s="5" t="s">
        <v>3625</v>
      </c>
    </row>
    <row r="9442" spans="35:37">
      <c r="AI9442" s="468">
        <v>51814</v>
      </c>
      <c r="AJ9442" s="5" t="s">
        <v>3619</v>
      </c>
      <c r="AK9442" s="5" t="s">
        <v>3627</v>
      </c>
    </row>
    <row r="9443" spans="35:37">
      <c r="AI9443" s="468">
        <v>51815</v>
      </c>
      <c r="AJ9443" s="5" t="s">
        <v>3621</v>
      </c>
      <c r="AK9443" s="5" t="s">
        <v>3618</v>
      </c>
    </row>
    <row r="9444" spans="35:37">
      <c r="AI9444" s="468">
        <v>51816</v>
      </c>
      <c r="AJ9444" s="5" t="s">
        <v>3579</v>
      </c>
      <c r="AK9444" s="5" t="s">
        <v>3620</v>
      </c>
    </row>
    <row r="9445" spans="35:37">
      <c r="AI9445" s="468">
        <v>51817</v>
      </c>
      <c r="AJ9445" s="5" t="s">
        <v>3624</v>
      </c>
      <c r="AK9445" s="5" t="s">
        <v>3622</v>
      </c>
    </row>
    <row r="9446" spans="35:37">
      <c r="AI9446" s="468">
        <v>51818</v>
      </c>
      <c r="AJ9446" s="5" t="s">
        <v>3626</v>
      </c>
      <c r="AK9446" s="5" t="s">
        <v>3623</v>
      </c>
    </row>
    <row r="9447" spans="35:37">
      <c r="AI9447" s="468">
        <v>51819</v>
      </c>
      <c r="AJ9447" s="5" t="s">
        <v>3628</v>
      </c>
      <c r="AK9447" s="5" t="s">
        <v>3625</v>
      </c>
    </row>
    <row r="9448" spans="35:37">
      <c r="AI9448" s="468">
        <v>51820</v>
      </c>
      <c r="AJ9448" s="5" t="s">
        <v>3617</v>
      </c>
      <c r="AK9448" s="5" t="s">
        <v>3627</v>
      </c>
    </row>
    <row r="9449" spans="35:37">
      <c r="AI9449" s="468">
        <v>51821</v>
      </c>
      <c r="AJ9449" s="5" t="s">
        <v>3619</v>
      </c>
      <c r="AK9449" s="5" t="s">
        <v>3618</v>
      </c>
    </row>
    <row r="9450" spans="35:37">
      <c r="AI9450" s="468">
        <v>51822</v>
      </c>
      <c r="AJ9450" s="5" t="s">
        <v>3621</v>
      </c>
      <c r="AK9450" s="5" t="s">
        <v>3620</v>
      </c>
    </row>
    <row r="9451" spans="35:37">
      <c r="AI9451" s="468">
        <v>51823</v>
      </c>
      <c r="AJ9451" s="5" t="s">
        <v>3579</v>
      </c>
      <c r="AK9451" s="5" t="s">
        <v>3622</v>
      </c>
    </row>
    <row r="9452" spans="35:37">
      <c r="AI9452" s="468">
        <v>51824</v>
      </c>
      <c r="AJ9452" s="5" t="s">
        <v>3624</v>
      </c>
      <c r="AK9452" s="5" t="s">
        <v>3623</v>
      </c>
    </row>
    <row r="9453" spans="35:37">
      <c r="AI9453" s="468">
        <v>51825</v>
      </c>
      <c r="AJ9453" s="5" t="s">
        <v>3626</v>
      </c>
      <c r="AK9453" s="5" t="s">
        <v>3625</v>
      </c>
    </row>
    <row r="9454" spans="35:37">
      <c r="AI9454" s="468">
        <v>51826</v>
      </c>
      <c r="AJ9454" s="5" t="s">
        <v>3628</v>
      </c>
      <c r="AK9454" s="5" t="s">
        <v>3627</v>
      </c>
    </row>
    <row r="9455" spans="35:37">
      <c r="AI9455" s="468">
        <v>51827</v>
      </c>
      <c r="AJ9455" s="5" t="s">
        <v>3617</v>
      </c>
      <c r="AK9455" s="5" t="s">
        <v>3618</v>
      </c>
    </row>
    <row r="9456" spans="35:37">
      <c r="AI9456" s="468">
        <v>51828</v>
      </c>
      <c r="AJ9456" s="5" t="s">
        <v>3619</v>
      </c>
      <c r="AK9456" s="5" t="s">
        <v>3620</v>
      </c>
    </row>
    <row r="9457" spans="35:37">
      <c r="AI9457" s="468">
        <v>51829</v>
      </c>
      <c r="AJ9457" s="5" t="s">
        <v>3621</v>
      </c>
      <c r="AK9457" s="5" t="s">
        <v>3623</v>
      </c>
    </row>
    <row r="9458" spans="35:37">
      <c r="AI9458" s="468">
        <v>51830</v>
      </c>
      <c r="AJ9458" s="5" t="s">
        <v>3579</v>
      </c>
      <c r="AK9458" s="5" t="s">
        <v>3625</v>
      </c>
    </row>
    <row r="9459" spans="35:37">
      <c r="AI9459" s="468">
        <v>51831</v>
      </c>
      <c r="AJ9459" s="5" t="s">
        <v>3624</v>
      </c>
      <c r="AK9459" s="5" t="s">
        <v>3627</v>
      </c>
    </row>
    <row r="9460" spans="35:37">
      <c r="AI9460" s="468">
        <v>51832</v>
      </c>
      <c r="AJ9460" s="5" t="s">
        <v>3626</v>
      </c>
      <c r="AK9460" s="5" t="s">
        <v>3618</v>
      </c>
    </row>
    <row r="9461" spans="35:37">
      <c r="AI9461" s="468">
        <v>51833</v>
      </c>
      <c r="AJ9461" s="5" t="s">
        <v>3628</v>
      </c>
      <c r="AK9461" s="5" t="s">
        <v>3620</v>
      </c>
    </row>
    <row r="9462" spans="35:37">
      <c r="AI9462" s="468">
        <v>51834</v>
      </c>
      <c r="AJ9462" s="5" t="s">
        <v>3617</v>
      </c>
      <c r="AK9462" s="5" t="s">
        <v>3622</v>
      </c>
    </row>
    <row r="9463" spans="35:37">
      <c r="AI9463" s="468">
        <v>51835</v>
      </c>
      <c r="AJ9463" s="5" t="s">
        <v>3619</v>
      </c>
      <c r="AK9463" s="5" t="s">
        <v>3623</v>
      </c>
    </row>
    <row r="9464" spans="35:37">
      <c r="AI9464" s="468">
        <v>51836</v>
      </c>
      <c r="AJ9464" s="5" t="s">
        <v>3621</v>
      </c>
      <c r="AK9464" s="5" t="s">
        <v>3625</v>
      </c>
    </row>
    <row r="9465" spans="35:37">
      <c r="AI9465" s="468">
        <v>51837</v>
      </c>
      <c r="AJ9465" s="5" t="s">
        <v>3579</v>
      </c>
      <c r="AK9465" s="5" t="s">
        <v>3627</v>
      </c>
    </row>
    <row r="9466" spans="35:37">
      <c r="AI9466" s="468">
        <v>51838</v>
      </c>
      <c r="AJ9466" s="5" t="s">
        <v>3624</v>
      </c>
      <c r="AK9466" s="5" t="s">
        <v>3618</v>
      </c>
    </row>
    <row r="9467" spans="35:37">
      <c r="AI9467" s="468">
        <v>51839</v>
      </c>
      <c r="AJ9467" s="5" t="s">
        <v>3626</v>
      </c>
      <c r="AK9467" s="5" t="s">
        <v>3620</v>
      </c>
    </row>
    <row r="9468" spans="35:37">
      <c r="AI9468" s="468">
        <v>51840</v>
      </c>
      <c r="AJ9468" s="5" t="s">
        <v>3628</v>
      </c>
      <c r="AK9468" s="5" t="s">
        <v>3622</v>
      </c>
    </row>
    <row r="9469" spans="35:37">
      <c r="AI9469" s="468">
        <v>51841</v>
      </c>
      <c r="AJ9469" s="5" t="s">
        <v>3617</v>
      </c>
      <c r="AK9469" s="5" t="s">
        <v>3623</v>
      </c>
    </row>
    <row r="9470" spans="35:37">
      <c r="AI9470" s="468">
        <v>51842</v>
      </c>
      <c r="AJ9470" s="5" t="s">
        <v>3619</v>
      </c>
      <c r="AK9470" s="5" t="s">
        <v>3625</v>
      </c>
    </row>
    <row r="9471" spans="35:37">
      <c r="AI9471" s="468">
        <v>51843</v>
      </c>
      <c r="AJ9471" s="5" t="s">
        <v>3621</v>
      </c>
      <c r="AK9471" s="5" t="s">
        <v>3627</v>
      </c>
    </row>
    <row r="9472" spans="35:37">
      <c r="AI9472" s="468">
        <v>51844</v>
      </c>
      <c r="AJ9472" s="5" t="s">
        <v>3579</v>
      </c>
      <c r="AK9472" s="5" t="s">
        <v>3618</v>
      </c>
    </row>
    <row r="9473" spans="35:37">
      <c r="AI9473" s="468">
        <v>51845</v>
      </c>
      <c r="AJ9473" s="5" t="s">
        <v>3624</v>
      </c>
      <c r="AK9473" s="5" t="s">
        <v>3620</v>
      </c>
    </row>
    <row r="9474" spans="35:37">
      <c r="AI9474" s="468">
        <v>51846</v>
      </c>
      <c r="AJ9474" s="5" t="s">
        <v>3626</v>
      </c>
      <c r="AK9474" s="5" t="s">
        <v>3622</v>
      </c>
    </row>
    <row r="9475" spans="35:37">
      <c r="AI9475" s="468">
        <v>51847</v>
      </c>
      <c r="AJ9475" s="5" t="s">
        <v>3628</v>
      </c>
      <c r="AK9475" s="5" t="s">
        <v>3623</v>
      </c>
    </row>
    <row r="9476" spans="35:37">
      <c r="AI9476" s="468">
        <v>51848</v>
      </c>
      <c r="AJ9476" s="5" t="s">
        <v>3617</v>
      </c>
      <c r="AK9476" s="5" t="s">
        <v>3625</v>
      </c>
    </row>
    <row r="9477" spans="35:37">
      <c r="AI9477" s="468">
        <v>51849</v>
      </c>
      <c r="AJ9477" s="5" t="s">
        <v>3619</v>
      </c>
      <c r="AK9477" s="5" t="s">
        <v>3627</v>
      </c>
    </row>
    <row r="9478" spans="35:37">
      <c r="AI9478" s="468">
        <v>51850</v>
      </c>
      <c r="AJ9478" s="5" t="s">
        <v>3621</v>
      </c>
      <c r="AK9478" s="5" t="s">
        <v>3618</v>
      </c>
    </row>
    <row r="9479" spans="35:37">
      <c r="AI9479" s="468">
        <v>51851</v>
      </c>
      <c r="AJ9479" s="5" t="s">
        <v>3579</v>
      </c>
      <c r="AK9479" s="5" t="s">
        <v>3620</v>
      </c>
    </row>
    <row r="9480" spans="35:37">
      <c r="AI9480" s="468">
        <v>51852</v>
      </c>
      <c r="AJ9480" s="5" t="s">
        <v>3624</v>
      </c>
      <c r="AK9480" s="5" t="s">
        <v>3622</v>
      </c>
    </row>
    <row r="9481" spans="35:37">
      <c r="AI9481" s="468">
        <v>51853</v>
      </c>
      <c r="AJ9481" s="5" t="s">
        <v>3626</v>
      </c>
      <c r="AK9481" s="5" t="s">
        <v>3623</v>
      </c>
    </row>
    <row r="9482" spans="35:37">
      <c r="AI9482" s="468">
        <v>51854</v>
      </c>
      <c r="AJ9482" s="5" t="s">
        <v>3628</v>
      </c>
      <c r="AK9482" s="5" t="s">
        <v>3625</v>
      </c>
    </row>
    <row r="9483" spans="35:37">
      <c r="AI9483" s="468">
        <v>51855</v>
      </c>
      <c r="AJ9483" s="5" t="s">
        <v>3617</v>
      </c>
      <c r="AK9483" s="5" t="s">
        <v>3627</v>
      </c>
    </row>
    <row r="9484" spans="35:37">
      <c r="AI9484" s="468">
        <v>51856</v>
      </c>
      <c r="AJ9484" s="5" t="s">
        <v>3619</v>
      </c>
      <c r="AK9484" s="5" t="s">
        <v>3618</v>
      </c>
    </row>
    <row r="9485" spans="35:37">
      <c r="AI9485" s="468">
        <v>51857</v>
      </c>
      <c r="AJ9485" s="5" t="s">
        <v>3621</v>
      </c>
      <c r="AK9485" s="5" t="s">
        <v>3620</v>
      </c>
    </row>
    <row r="9486" spans="35:37">
      <c r="AI9486" s="468">
        <v>51858</v>
      </c>
      <c r="AJ9486" s="5" t="s">
        <v>3579</v>
      </c>
      <c r="AK9486" s="5" t="s">
        <v>3625</v>
      </c>
    </row>
    <row r="9487" spans="35:37">
      <c r="AI9487" s="468">
        <v>51859</v>
      </c>
      <c r="AJ9487" s="5" t="s">
        <v>3624</v>
      </c>
      <c r="AK9487" s="5" t="s">
        <v>3627</v>
      </c>
    </row>
    <row r="9488" spans="35:37">
      <c r="AI9488" s="468">
        <v>51860</v>
      </c>
      <c r="AJ9488" s="5" t="s">
        <v>3626</v>
      </c>
      <c r="AK9488" s="5" t="s">
        <v>3618</v>
      </c>
    </row>
    <row r="9489" spans="35:37">
      <c r="AI9489" s="468">
        <v>51861</v>
      </c>
      <c r="AJ9489" s="5" t="s">
        <v>3628</v>
      </c>
      <c r="AK9489" s="5" t="s">
        <v>3620</v>
      </c>
    </row>
    <row r="9490" spans="35:37">
      <c r="AI9490" s="468">
        <v>51862</v>
      </c>
      <c r="AJ9490" s="5" t="s">
        <v>3617</v>
      </c>
      <c r="AK9490" s="5" t="s">
        <v>3622</v>
      </c>
    </row>
    <row r="9491" spans="35:37">
      <c r="AI9491" s="468">
        <v>51863</v>
      </c>
      <c r="AJ9491" s="5" t="s">
        <v>3619</v>
      </c>
      <c r="AK9491" s="5" t="s">
        <v>3623</v>
      </c>
    </row>
    <row r="9492" spans="35:37">
      <c r="AI9492" s="468">
        <v>51864</v>
      </c>
      <c r="AJ9492" s="5" t="s">
        <v>3621</v>
      </c>
      <c r="AK9492" s="5" t="s">
        <v>3625</v>
      </c>
    </row>
    <row r="9493" spans="35:37">
      <c r="AI9493" s="468">
        <v>51865</v>
      </c>
      <c r="AJ9493" s="5" t="s">
        <v>3579</v>
      </c>
      <c r="AK9493" s="5" t="s">
        <v>3627</v>
      </c>
    </row>
    <row r="9494" spans="35:37">
      <c r="AI9494" s="468">
        <v>51866</v>
      </c>
      <c r="AJ9494" s="5" t="s">
        <v>3624</v>
      </c>
      <c r="AK9494" s="5" t="s">
        <v>3618</v>
      </c>
    </row>
    <row r="9495" spans="35:37">
      <c r="AI9495" s="468">
        <v>51867</v>
      </c>
      <c r="AJ9495" s="5" t="s">
        <v>3626</v>
      </c>
      <c r="AK9495" s="5" t="s">
        <v>3620</v>
      </c>
    </row>
    <row r="9496" spans="35:37">
      <c r="AI9496" s="468">
        <v>51868</v>
      </c>
      <c r="AJ9496" s="5" t="s">
        <v>3628</v>
      </c>
      <c r="AK9496" s="5" t="s">
        <v>3622</v>
      </c>
    </row>
    <row r="9497" spans="35:37">
      <c r="AI9497" s="468">
        <v>51869</v>
      </c>
      <c r="AJ9497" s="5" t="s">
        <v>3617</v>
      </c>
      <c r="AK9497" s="5" t="s">
        <v>3623</v>
      </c>
    </row>
    <row r="9498" spans="35:37">
      <c r="AI9498" s="468">
        <v>51870</v>
      </c>
      <c r="AJ9498" s="5" t="s">
        <v>3619</v>
      </c>
      <c r="AK9498" s="5" t="s">
        <v>3625</v>
      </c>
    </row>
    <row r="9499" spans="35:37">
      <c r="AI9499" s="468">
        <v>51871</v>
      </c>
      <c r="AJ9499" s="5" t="s">
        <v>3621</v>
      </c>
      <c r="AK9499" s="5" t="s">
        <v>3627</v>
      </c>
    </row>
    <row r="9500" spans="35:37">
      <c r="AI9500" s="468">
        <v>51872</v>
      </c>
      <c r="AJ9500" s="5" t="s">
        <v>3579</v>
      </c>
      <c r="AK9500" s="5" t="s">
        <v>3618</v>
      </c>
    </row>
    <row r="9501" spans="35:37">
      <c r="AI9501" s="468">
        <v>51873</v>
      </c>
      <c r="AJ9501" s="5" t="s">
        <v>3624</v>
      </c>
      <c r="AK9501" s="5" t="s">
        <v>3620</v>
      </c>
    </row>
    <row r="9502" spans="35:37">
      <c r="AI9502" s="468">
        <v>51874</v>
      </c>
      <c r="AJ9502" s="5" t="s">
        <v>3626</v>
      </c>
      <c r="AK9502" s="5" t="s">
        <v>3622</v>
      </c>
    </row>
    <row r="9503" spans="35:37">
      <c r="AI9503" s="468">
        <v>51875</v>
      </c>
      <c r="AJ9503" s="5" t="s">
        <v>3628</v>
      </c>
      <c r="AK9503" s="5" t="s">
        <v>3623</v>
      </c>
    </row>
    <row r="9504" spans="35:37">
      <c r="AI9504" s="468">
        <v>51876</v>
      </c>
      <c r="AJ9504" s="5" t="s">
        <v>3617</v>
      </c>
      <c r="AK9504" s="5" t="s">
        <v>3625</v>
      </c>
    </row>
    <row r="9505" spans="35:37">
      <c r="AI9505" s="468">
        <v>51877</v>
      </c>
      <c r="AJ9505" s="5" t="s">
        <v>3619</v>
      </c>
      <c r="AK9505" s="5" t="s">
        <v>3627</v>
      </c>
    </row>
    <row r="9506" spans="35:37">
      <c r="AI9506" s="468">
        <v>51878</v>
      </c>
      <c r="AJ9506" s="5" t="s">
        <v>3621</v>
      </c>
      <c r="AK9506" s="5" t="s">
        <v>3618</v>
      </c>
    </row>
    <row r="9507" spans="35:37">
      <c r="AI9507" s="468">
        <v>51879</v>
      </c>
      <c r="AJ9507" s="5" t="s">
        <v>3579</v>
      </c>
      <c r="AK9507" s="5" t="s">
        <v>3620</v>
      </c>
    </row>
    <row r="9508" spans="35:37">
      <c r="AI9508" s="468">
        <v>51880</v>
      </c>
      <c r="AJ9508" s="5" t="s">
        <v>3624</v>
      </c>
      <c r="AK9508" s="5" t="s">
        <v>3622</v>
      </c>
    </row>
    <row r="9509" spans="35:37">
      <c r="AI9509" s="468">
        <v>51881</v>
      </c>
      <c r="AJ9509" s="5" t="s">
        <v>3626</v>
      </c>
      <c r="AK9509" s="5" t="s">
        <v>3623</v>
      </c>
    </row>
    <row r="9510" spans="35:37">
      <c r="AI9510" s="468">
        <v>51882</v>
      </c>
      <c r="AJ9510" s="5" t="s">
        <v>3628</v>
      </c>
      <c r="AK9510" s="5" t="s">
        <v>3625</v>
      </c>
    </row>
    <row r="9511" spans="35:37">
      <c r="AI9511" s="468">
        <v>51883</v>
      </c>
      <c r="AJ9511" s="5" t="s">
        <v>3617</v>
      </c>
      <c r="AK9511" s="5" t="s">
        <v>3627</v>
      </c>
    </row>
    <row r="9512" spans="35:37">
      <c r="AI9512" s="468">
        <v>51884</v>
      </c>
      <c r="AJ9512" s="5" t="s">
        <v>3619</v>
      </c>
      <c r="AK9512" s="5" t="s">
        <v>3618</v>
      </c>
    </row>
    <row r="9513" spans="35:37">
      <c r="AI9513" s="468">
        <v>51885</v>
      </c>
      <c r="AJ9513" s="5" t="s">
        <v>3621</v>
      </c>
      <c r="AK9513" s="5" t="s">
        <v>3620</v>
      </c>
    </row>
    <row r="9514" spans="35:37">
      <c r="AI9514" s="468">
        <v>51886</v>
      </c>
      <c r="AJ9514" s="5" t="s">
        <v>3579</v>
      </c>
      <c r="AK9514" s="5" t="s">
        <v>3622</v>
      </c>
    </row>
    <row r="9515" spans="35:37">
      <c r="AI9515" s="468">
        <v>51887</v>
      </c>
      <c r="AJ9515" s="5" t="s">
        <v>3624</v>
      </c>
      <c r="AK9515" s="5" t="s">
        <v>3623</v>
      </c>
    </row>
    <row r="9516" spans="35:37">
      <c r="AI9516" s="468">
        <v>51888</v>
      </c>
      <c r="AJ9516" s="5" t="s">
        <v>3626</v>
      </c>
      <c r="AK9516" s="5" t="s">
        <v>3627</v>
      </c>
    </row>
    <row r="9517" spans="35:37">
      <c r="AI9517" s="468">
        <v>51889</v>
      </c>
      <c r="AJ9517" s="5" t="s">
        <v>3628</v>
      </c>
      <c r="AK9517" s="5" t="s">
        <v>3618</v>
      </c>
    </row>
    <row r="9518" spans="35:37">
      <c r="AI9518" s="468">
        <v>51890</v>
      </c>
      <c r="AJ9518" s="5" t="s">
        <v>3617</v>
      </c>
      <c r="AK9518" s="5" t="s">
        <v>3620</v>
      </c>
    </row>
    <row r="9519" spans="35:37">
      <c r="AI9519" s="468">
        <v>51891</v>
      </c>
      <c r="AJ9519" s="5" t="s">
        <v>3619</v>
      </c>
      <c r="AK9519" s="5" t="s">
        <v>3622</v>
      </c>
    </row>
    <row r="9520" spans="35:37">
      <c r="AI9520" s="468">
        <v>51892</v>
      </c>
      <c r="AJ9520" s="5" t="s">
        <v>3621</v>
      </c>
      <c r="AK9520" s="5" t="s">
        <v>3623</v>
      </c>
    </row>
    <row r="9521" spans="35:37">
      <c r="AI9521" s="468">
        <v>51893</v>
      </c>
      <c r="AJ9521" s="5" t="s">
        <v>3579</v>
      </c>
      <c r="AK9521" s="5" t="s">
        <v>3625</v>
      </c>
    </row>
    <row r="9522" spans="35:37">
      <c r="AI9522" s="468">
        <v>51894</v>
      </c>
      <c r="AJ9522" s="5" t="s">
        <v>3624</v>
      </c>
      <c r="AK9522" s="5" t="s">
        <v>3627</v>
      </c>
    </row>
    <row r="9523" spans="35:37">
      <c r="AI9523" s="468">
        <v>51895</v>
      </c>
      <c r="AJ9523" s="5" t="s">
        <v>3626</v>
      </c>
      <c r="AK9523" s="5" t="s">
        <v>3618</v>
      </c>
    </row>
    <row r="9524" spans="35:37">
      <c r="AI9524" s="468">
        <v>51896</v>
      </c>
      <c r="AJ9524" s="5" t="s">
        <v>3628</v>
      </c>
      <c r="AK9524" s="5" t="s">
        <v>3620</v>
      </c>
    </row>
    <row r="9525" spans="35:37">
      <c r="AI9525" s="468">
        <v>51897</v>
      </c>
      <c r="AJ9525" s="5" t="s">
        <v>3617</v>
      </c>
      <c r="AK9525" s="5" t="s">
        <v>3622</v>
      </c>
    </row>
    <row r="9526" spans="35:37">
      <c r="AI9526" s="468">
        <v>51898</v>
      </c>
      <c r="AJ9526" s="5" t="s">
        <v>3619</v>
      </c>
      <c r="AK9526" s="5" t="s">
        <v>3623</v>
      </c>
    </row>
    <row r="9527" spans="35:37">
      <c r="AI9527" s="468">
        <v>51899</v>
      </c>
      <c r="AJ9527" s="5" t="s">
        <v>3621</v>
      </c>
      <c r="AK9527" s="5" t="s">
        <v>3625</v>
      </c>
    </row>
    <row r="9528" spans="35:37">
      <c r="AI9528" s="468">
        <v>51900</v>
      </c>
      <c r="AJ9528" s="5" t="s">
        <v>3579</v>
      </c>
      <c r="AK9528" s="5" t="s">
        <v>3627</v>
      </c>
    </row>
    <row r="9529" spans="35:37">
      <c r="AI9529" s="468">
        <v>51901</v>
      </c>
      <c r="AJ9529" s="5" t="s">
        <v>3624</v>
      </c>
      <c r="AK9529" s="5" t="s">
        <v>3618</v>
      </c>
    </row>
    <row r="9530" spans="35:37">
      <c r="AI9530" s="468">
        <v>51902</v>
      </c>
      <c r="AJ9530" s="5" t="s">
        <v>3626</v>
      </c>
      <c r="AK9530" s="5" t="s">
        <v>3620</v>
      </c>
    </row>
    <row r="9531" spans="35:37">
      <c r="AI9531" s="468">
        <v>51903</v>
      </c>
      <c r="AJ9531" s="5" t="s">
        <v>3628</v>
      </c>
      <c r="AK9531" s="5" t="s">
        <v>3622</v>
      </c>
    </row>
    <row r="9532" spans="35:37">
      <c r="AI9532" s="468">
        <v>51904</v>
      </c>
      <c r="AJ9532" s="5" t="s">
        <v>3617</v>
      </c>
      <c r="AK9532" s="5" t="s">
        <v>3623</v>
      </c>
    </row>
    <row r="9533" spans="35:37">
      <c r="AI9533" s="468">
        <v>51905</v>
      </c>
      <c r="AJ9533" s="5" t="s">
        <v>3619</v>
      </c>
      <c r="AK9533" s="5" t="s">
        <v>3625</v>
      </c>
    </row>
    <row r="9534" spans="35:37">
      <c r="AI9534" s="468">
        <v>51906</v>
      </c>
      <c r="AJ9534" s="5" t="s">
        <v>3621</v>
      </c>
      <c r="AK9534" s="5" t="s">
        <v>3627</v>
      </c>
    </row>
    <row r="9535" spans="35:37">
      <c r="AI9535" s="468">
        <v>51907</v>
      </c>
      <c r="AJ9535" s="5" t="s">
        <v>3579</v>
      </c>
      <c r="AK9535" s="5" t="s">
        <v>3618</v>
      </c>
    </row>
    <row r="9536" spans="35:37">
      <c r="AI9536" s="468">
        <v>51908</v>
      </c>
      <c r="AJ9536" s="5" t="s">
        <v>3624</v>
      </c>
      <c r="AK9536" s="5" t="s">
        <v>3620</v>
      </c>
    </row>
    <row r="9537" spans="35:37">
      <c r="AI9537" s="468">
        <v>51909</v>
      </c>
      <c r="AJ9537" s="5" t="s">
        <v>3626</v>
      </c>
      <c r="AK9537" s="5" t="s">
        <v>3622</v>
      </c>
    </row>
    <row r="9538" spans="35:37">
      <c r="AI9538" s="468">
        <v>51910</v>
      </c>
      <c r="AJ9538" s="5" t="s">
        <v>3628</v>
      </c>
      <c r="AK9538" s="5" t="s">
        <v>3623</v>
      </c>
    </row>
    <row r="9539" spans="35:37">
      <c r="AI9539" s="468">
        <v>51911</v>
      </c>
      <c r="AJ9539" s="5" t="s">
        <v>3617</v>
      </c>
      <c r="AK9539" s="5" t="s">
        <v>3625</v>
      </c>
    </row>
    <row r="9540" spans="35:37">
      <c r="AI9540" s="468">
        <v>51912</v>
      </c>
      <c r="AJ9540" s="5" t="s">
        <v>3619</v>
      </c>
      <c r="AK9540" s="5" t="s">
        <v>3627</v>
      </c>
    </row>
    <row r="9541" spans="35:37">
      <c r="AI9541" s="468">
        <v>51913</v>
      </c>
      <c r="AJ9541" s="5" t="s">
        <v>3621</v>
      </c>
      <c r="AK9541" s="5" t="s">
        <v>3618</v>
      </c>
    </row>
    <row r="9542" spans="35:37">
      <c r="AI9542" s="468">
        <v>51914</v>
      </c>
      <c r="AJ9542" s="5" t="s">
        <v>3579</v>
      </c>
      <c r="AK9542" s="5" t="s">
        <v>3620</v>
      </c>
    </row>
    <row r="9543" spans="35:37">
      <c r="AI9543" s="468">
        <v>51915</v>
      </c>
      <c r="AJ9543" s="5" t="s">
        <v>3624</v>
      </c>
      <c r="AK9543" s="5" t="s">
        <v>3622</v>
      </c>
    </row>
    <row r="9544" spans="35:37">
      <c r="AI9544" s="468">
        <v>51916</v>
      </c>
      <c r="AJ9544" s="5" t="s">
        <v>3626</v>
      </c>
      <c r="AK9544" s="5" t="s">
        <v>3623</v>
      </c>
    </row>
    <row r="9545" spans="35:37">
      <c r="AI9545" s="468">
        <v>51917</v>
      </c>
      <c r="AJ9545" s="5" t="s">
        <v>3628</v>
      </c>
      <c r="AK9545" s="5" t="s">
        <v>3618</v>
      </c>
    </row>
    <row r="9546" spans="35:37">
      <c r="AI9546" s="468">
        <v>51918</v>
      </c>
      <c r="AJ9546" s="5" t="s">
        <v>3617</v>
      </c>
      <c r="AK9546" s="5" t="s">
        <v>3620</v>
      </c>
    </row>
    <row r="9547" spans="35:37">
      <c r="AI9547" s="468">
        <v>51919</v>
      </c>
      <c r="AJ9547" s="5" t="s">
        <v>3619</v>
      </c>
      <c r="AK9547" s="5" t="s">
        <v>3622</v>
      </c>
    </row>
    <row r="9548" spans="35:37">
      <c r="AI9548" s="468">
        <v>51920</v>
      </c>
      <c r="AJ9548" s="5" t="s">
        <v>3621</v>
      </c>
      <c r="AK9548" s="5" t="s">
        <v>3623</v>
      </c>
    </row>
    <row r="9549" spans="35:37">
      <c r="AI9549" s="468">
        <v>51921</v>
      </c>
      <c r="AJ9549" s="5" t="s">
        <v>3579</v>
      </c>
      <c r="AK9549" s="5" t="s">
        <v>3625</v>
      </c>
    </row>
    <row r="9550" spans="35:37">
      <c r="AI9550" s="468">
        <v>51922</v>
      </c>
      <c r="AJ9550" s="5" t="s">
        <v>3624</v>
      </c>
      <c r="AK9550" s="5" t="s">
        <v>3627</v>
      </c>
    </row>
    <row r="9551" spans="35:37">
      <c r="AI9551" s="468">
        <v>51923</v>
      </c>
      <c r="AJ9551" s="5" t="s">
        <v>3626</v>
      </c>
      <c r="AK9551" s="5" t="s">
        <v>3618</v>
      </c>
    </row>
    <row r="9552" spans="35:37">
      <c r="AI9552" s="468">
        <v>51924</v>
      </c>
      <c r="AJ9552" s="5" t="s">
        <v>3628</v>
      </c>
      <c r="AK9552" s="5" t="s">
        <v>3620</v>
      </c>
    </row>
    <row r="9553" spans="35:37">
      <c r="AI9553" s="468">
        <v>51925</v>
      </c>
      <c r="AJ9553" s="5" t="s">
        <v>3617</v>
      </c>
      <c r="AK9553" s="5" t="s">
        <v>3622</v>
      </c>
    </row>
    <row r="9554" spans="35:37">
      <c r="AI9554" s="468">
        <v>51926</v>
      </c>
      <c r="AJ9554" s="5" t="s">
        <v>3619</v>
      </c>
      <c r="AK9554" s="5" t="s">
        <v>3623</v>
      </c>
    </row>
    <row r="9555" spans="35:37">
      <c r="AI9555" s="468">
        <v>51927</v>
      </c>
      <c r="AJ9555" s="5" t="s">
        <v>3621</v>
      </c>
      <c r="AK9555" s="5" t="s">
        <v>3625</v>
      </c>
    </row>
    <row r="9556" spans="35:37">
      <c r="AI9556" s="468">
        <v>51928</v>
      </c>
      <c r="AJ9556" s="5" t="s">
        <v>3579</v>
      </c>
      <c r="AK9556" s="5" t="s">
        <v>3627</v>
      </c>
    </row>
    <row r="9557" spans="35:37">
      <c r="AI9557" s="468">
        <v>51929</v>
      </c>
      <c r="AJ9557" s="5" t="s">
        <v>3624</v>
      </c>
      <c r="AK9557" s="5" t="s">
        <v>3618</v>
      </c>
    </row>
    <row r="9558" spans="35:37">
      <c r="AI9558" s="468">
        <v>51930</v>
      </c>
      <c r="AJ9558" s="5" t="s">
        <v>3626</v>
      </c>
      <c r="AK9558" s="5" t="s">
        <v>3620</v>
      </c>
    </row>
    <row r="9559" spans="35:37">
      <c r="AI9559" s="468">
        <v>51931</v>
      </c>
      <c r="AJ9559" s="5" t="s">
        <v>3628</v>
      </c>
      <c r="AK9559" s="5" t="s">
        <v>3622</v>
      </c>
    </row>
    <row r="9560" spans="35:37">
      <c r="AI9560" s="468">
        <v>51932</v>
      </c>
      <c r="AJ9560" s="5" t="s">
        <v>3617</v>
      </c>
      <c r="AK9560" s="5" t="s">
        <v>3623</v>
      </c>
    </row>
    <row r="9561" spans="35:37">
      <c r="AI9561" s="468">
        <v>51933</v>
      </c>
      <c r="AJ9561" s="5" t="s">
        <v>3619</v>
      </c>
      <c r="AK9561" s="5" t="s">
        <v>3625</v>
      </c>
    </row>
    <row r="9562" spans="35:37">
      <c r="AI9562" s="468">
        <v>51934</v>
      </c>
      <c r="AJ9562" s="5" t="s">
        <v>3621</v>
      </c>
      <c r="AK9562" s="5" t="s">
        <v>3627</v>
      </c>
    </row>
    <row r="9563" spans="35:37">
      <c r="AI9563" s="468">
        <v>51935</v>
      </c>
      <c r="AJ9563" s="5" t="s">
        <v>3579</v>
      </c>
      <c r="AK9563" s="5" t="s">
        <v>3618</v>
      </c>
    </row>
    <row r="9564" spans="35:37">
      <c r="AI9564" s="468">
        <v>51936</v>
      </c>
      <c r="AJ9564" s="5" t="s">
        <v>3624</v>
      </c>
      <c r="AK9564" s="5" t="s">
        <v>3620</v>
      </c>
    </row>
    <row r="9565" spans="35:37">
      <c r="AI9565" s="468">
        <v>51937</v>
      </c>
      <c r="AJ9565" s="5" t="s">
        <v>3626</v>
      </c>
      <c r="AK9565" s="5" t="s">
        <v>3622</v>
      </c>
    </row>
    <row r="9566" spans="35:37">
      <c r="AI9566" s="468">
        <v>51938</v>
      </c>
      <c r="AJ9566" s="5" t="s">
        <v>3628</v>
      </c>
      <c r="AK9566" s="5" t="s">
        <v>3623</v>
      </c>
    </row>
    <row r="9567" spans="35:37">
      <c r="AI9567" s="468">
        <v>51939</v>
      </c>
      <c r="AJ9567" s="5" t="s">
        <v>3617</v>
      </c>
      <c r="AK9567" s="5" t="s">
        <v>3625</v>
      </c>
    </row>
    <row r="9568" spans="35:37">
      <c r="AI9568" s="468">
        <v>51940</v>
      </c>
      <c r="AJ9568" s="5" t="s">
        <v>3619</v>
      </c>
      <c r="AK9568" s="5" t="s">
        <v>3627</v>
      </c>
    </row>
    <row r="9569" spans="35:37">
      <c r="AI9569" s="468">
        <v>51941</v>
      </c>
      <c r="AJ9569" s="5" t="s">
        <v>3621</v>
      </c>
      <c r="AK9569" s="5" t="s">
        <v>3618</v>
      </c>
    </row>
    <row r="9570" spans="35:37">
      <c r="AI9570" s="468">
        <v>51942</v>
      </c>
      <c r="AJ9570" s="5" t="s">
        <v>3579</v>
      </c>
      <c r="AK9570" s="5" t="s">
        <v>3620</v>
      </c>
    </row>
    <row r="9571" spans="35:37">
      <c r="AI9571" s="468">
        <v>51943</v>
      </c>
      <c r="AJ9571" s="5" t="s">
        <v>3624</v>
      </c>
      <c r="AK9571" s="5" t="s">
        <v>3622</v>
      </c>
    </row>
    <row r="9572" spans="35:37">
      <c r="AI9572" s="468">
        <v>51944</v>
      </c>
      <c r="AJ9572" s="5" t="s">
        <v>3626</v>
      </c>
      <c r="AK9572" s="5" t="s">
        <v>3623</v>
      </c>
    </row>
    <row r="9573" spans="35:37">
      <c r="AI9573" s="468">
        <v>51945</v>
      </c>
      <c r="AJ9573" s="5" t="s">
        <v>3628</v>
      </c>
      <c r="AK9573" s="5" t="s">
        <v>3625</v>
      </c>
    </row>
    <row r="9574" spans="35:37">
      <c r="AI9574" s="468">
        <v>51946</v>
      </c>
      <c r="AJ9574" s="5" t="s">
        <v>3617</v>
      </c>
      <c r="AK9574" s="5" t="s">
        <v>3627</v>
      </c>
    </row>
    <row r="9575" spans="35:37">
      <c r="AI9575" s="468">
        <v>51947</v>
      </c>
      <c r="AJ9575" s="5" t="s">
        <v>3619</v>
      </c>
      <c r="AK9575" s="5" t="s">
        <v>3618</v>
      </c>
    </row>
    <row r="9576" spans="35:37">
      <c r="AI9576" s="468">
        <v>51948</v>
      </c>
      <c r="AJ9576" s="5" t="s">
        <v>3621</v>
      </c>
      <c r="AK9576" s="5" t="s">
        <v>3620</v>
      </c>
    </row>
    <row r="9577" spans="35:37">
      <c r="AI9577" s="468">
        <v>51949</v>
      </c>
      <c r="AJ9577" s="5" t="s">
        <v>3579</v>
      </c>
      <c r="AK9577" s="5" t="s">
        <v>3622</v>
      </c>
    </row>
    <row r="9578" spans="35:37">
      <c r="AI9578" s="468">
        <v>51950</v>
      </c>
      <c r="AJ9578" s="5" t="s">
        <v>3624</v>
      </c>
      <c r="AK9578" s="5" t="s">
        <v>3623</v>
      </c>
    </row>
    <row r="9579" spans="35:37">
      <c r="AI9579" s="468">
        <v>51951</v>
      </c>
      <c r="AJ9579" s="5" t="s">
        <v>3626</v>
      </c>
      <c r="AK9579" s="5" t="s">
        <v>3625</v>
      </c>
    </row>
    <row r="9580" spans="35:37">
      <c r="AI9580" s="468">
        <v>51952</v>
      </c>
      <c r="AJ9580" s="5" t="s">
        <v>3628</v>
      </c>
      <c r="AK9580" s="5" t="s">
        <v>3627</v>
      </c>
    </row>
    <row r="9581" spans="35:37">
      <c r="AI9581" s="468">
        <v>51953</v>
      </c>
      <c r="AJ9581" s="5" t="s">
        <v>3617</v>
      </c>
      <c r="AK9581" s="5" t="s">
        <v>3618</v>
      </c>
    </row>
    <row r="9582" spans="35:37">
      <c r="AI9582" s="468">
        <v>51954</v>
      </c>
      <c r="AJ9582" s="5" t="s">
        <v>3619</v>
      </c>
      <c r="AK9582" s="5" t="s">
        <v>3620</v>
      </c>
    </row>
    <row r="9583" spans="35:37">
      <c r="AI9583" s="468">
        <v>51955</v>
      </c>
      <c r="AJ9583" s="5" t="s">
        <v>3621</v>
      </c>
      <c r="AK9583" s="5" t="s">
        <v>3622</v>
      </c>
    </row>
    <row r="9584" spans="35:37">
      <c r="AI9584" s="468">
        <v>51956</v>
      </c>
      <c r="AJ9584" s="5" t="s">
        <v>3579</v>
      </c>
      <c r="AK9584" s="5" t="s">
        <v>3623</v>
      </c>
    </row>
    <row r="9585" spans="35:37">
      <c r="AI9585" s="468">
        <v>51957</v>
      </c>
      <c r="AJ9585" s="5" t="s">
        <v>3624</v>
      </c>
      <c r="AK9585" s="5" t="s">
        <v>3625</v>
      </c>
    </row>
    <row r="9586" spans="35:37">
      <c r="AI9586" s="468">
        <v>51958</v>
      </c>
      <c r="AJ9586" s="5" t="s">
        <v>3626</v>
      </c>
      <c r="AK9586" s="5" t="s">
        <v>3627</v>
      </c>
    </row>
    <row r="9587" spans="35:37">
      <c r="AI9587" s="468">
        <v>51959</v>
      </c>
      <c r="AJ9587" s="5" t="s">
        <v>3628</v>
      </c>
      <c r="AK9587" s="5" t="s">
        <v>3618</v>
      </c>
    </row>
    <row r="9588" spans="35:37">
      <c r="AI9588" s="468">
        <v>51960</v>
      </c>
      <c r="AJ9588" s="5" t="s">
        <v>3617</v>
      </c>
      <c r="AK9588" s="5" t="s">
        <v>3620</v>
      </c>
    </row>
    <row r="9589" spans="35:37">
      <c r="AI9589" s="468">
        <v>51961</v>
      </c>
      <c r="AJ9589" s="5" t="s">
        <v>3619</v>
      </c>
      <c r="AK9589" s="5" t="s">
        <v>3622</v>
      </c>
    </row>
    <row r="9590" spans="35:37">
      <c r="AI9590" s="468">
        <v>51962</v>
      </c>
      <c r="AJ9590" s="5" t="s">
        <v>3621</v>
      </c>
      <c r="AK9590" s="5" t="s">
        <v>3623</v>
      </c>
    </row>
    <row r="9591" spans="35:37">
      <c r="AI9591" s="468">
        <v>51963</v>
      </c>
      <c r="AJ9591" s="5" t="s">
        <v>3579</v>
      </c>
      <c r="AK9591" s="5" t="s">
        <v>3625</v>
      </c>
    </row>
    <row r="9592" spans="35:37">
      <c r="AI9592" s="468">
        <v>51964</v>
      </c>
      <c r="AJ9592" s="5" t="s">
        <v>3624</v>
      </c>
      <c r="AK9592" s="5" t="s">
        <v>3627</v>
      </c>
    </row>
    <row r="9593" spans="35:37">
      <c r="AI9593" s="468">
        <v>51965</v>
      </c>
      <c r="AJ9593" s="5" t="s">
        <v>3626</v>
      </c>
      <c r="AK9593" s="5" t="s">
        <v>3618</v>
      </c>
    </row>
    <row r="9594" spans="35:37">
      <c r="AI9594" s="468">
        <v>51966</v>
      </c>
      <c r="AJ9594" s="5" t="s">
        <v>3628</v>
      </c>
      <c r="AK9594" s="5" t="s">
        <v>3620</v>
      </c>
    </row>
    <row r="9595" spans="35:37">
      <c r="AI9595" s="468">
        <v>51967</v>
      </c>
      <c r="AJ9595" s="5" t="s">
        <v>3617</v>
      </c>
      <c r="AK9595" s="5" t="s">
        <v>3622</v>
      </c>
    </row>
    <row r="9596" spans="35:37">
      <c r="AI9596" s="468">
        <v>51968</v>
      </c>
      <c r="AJ9596" s="5" t="s">
        <v>3619</v>
      </c>
      <c r="AK9596" s="5" t="s">
        <v>3623</v>
      </c>
    </row>
    <row r="9597" spans="35:37">
      <c r="AI9597" s="468">
        <v>51969</v>
      </c>
      <c r="AJ9597" s="5" t="s">
        <v>3621</v>
      </c>
      <c r="AK9597" s="5" t="s">
        <v>3625</v>
      </c>
    </row>
    <row r="9598" spans="35:37">
      <c r="AI9598" s="468">
        <v>51970</v>
      </c>
      <c r="AJ9598" s="5" t="s">
        <v>3579</v>
      </c>
      <c r="AK9598" s="5" t="s">
        <v>3627</v>
      </c>
    </row>
    <row r="9599" spans="35:37">
      <c r="AI9599" s="468">
        <v>51971</v>
      </c>
      <c r="AJ9599" s="5" t="s">
        <v>3624</v>
      </c>
      <c r="AK9599" s="5" t="s">
        <v>3618</v>
      </c>
    </row>
    <row r="9600" spans="35:37">
      <c r="AI9600" s="468">
        <v>51972</v>
      </c>
      <c r="AJ9600" s="5" t="s">
        <v>3626</v>
      </c>
      <c r="AK9600" s="5" t="s">
        <v>3620</v>
      </c>
    </row>
    <row r="9601" spans="35:37">
      <c r="AI9601" s="468">
        <v>51973</v>
      </c>
      <c r="AJ9601" s="5" t="s">
        <v>3628</v>
      </c>
      <c r="AK9601" s="5" t="s">
        <v>3622</v>
      </c>
    </row>
    <row r="9602" spans="35:37">
      <c r="AI9602" s="468">
        <v>51974</v>
      </c>
      <c r="AJ9602" s="5" t="s">
        <v>3617</v>
      </c>
      <c r="AK9602" s="5" t="s">
        <v>3623</v>
      </c>
    </row>
    <row r="9603" spans="35:37">
      <c r="AI9603" s="468">
        <v>51975</v>
      </c>
      <c r="AJ9603" s="5" t="s">
        <v>3619</v>
      </c>
      <c r="AK9603" s="5" t="s">
        <v>3625</v>
      </c>
    </row>
    <row r="9604" spans="35:37">
      <c r="AI9604" s="468">
        <v>51976</v>
      </c>
      <c r="AJ9604" s="5" t="s">
        <v>3621</v>
      </c>
      <c r="AK9604" s="5" t="s">
        <v>3620</v>
      </c>
    </row>
    <row r="9605" spans="35:37">
      <c r="AI9605" s="468">
        <v>51977</v>
      </c>
      <c r="AJ9605" s="5" t="s">
        <v>3579</v>
      </c>
      <c r="AK9605" s="5" t="s">
        <v>3622</v>
      </c>
    </row>
    <row r="9606" spans="35:37">
      <c r="AI9606" s="468">
        <v>51978</v>
      </c>
      <c r="AJ9606" s="5" t="s">
        <v>3624</v>
      </c>
      <c r="AK9606" s="5" t="s">
        <v>3623</v>
      </c>
    </row>
    <row r="9607" spans="35:37">
      <c r="AI9607" s="468">
        <v>51979</v>
      </c>
      <c r="AJ9607" s="5" t="s">
        <v>3626</v>
      </c>
      <c r="AK9607" s="5" t="s">
        <v>3625</v>
      </c>
    </row>
    <row r="9608" spans="35:37">
      <c r="AI9608" s="468">
        <v>51980</v>
      </c>
      <c r="AJ9608" s="5" t="s">
        <v>3628</v>
      </c>
      <c r="AK9608" s="5" t="s">
        <v>3627</v>
      </c>
    </row>
    <row r="9609" spans="35:37">
      <c r="AI9609" s="468">
        <v>51981</v>
      </c>
      <c r="AJ9609" s="5" t="s">
        <v>3617</v>
      </c>
      <c r="AK9609" s="5" t="s">
        <v>3618</v>
      </c>
    </row>
    <row r="9610" spans="35:37">
      <c r="AI9610" s="468">
        <v>51982</v>
      </c>
      <c r="AJ9610" s="5" t="s">
        <v>3619</v>
      </c>
      <c r="AK9610" s="5" t="s">
        <v>3620</v>
      </c>
    </row>
    <row r="9611" spans="35:37">
      <c r="AI9611" s="468">
        <v>51983</v>
      </c>
      <c r="AJ9611" s="5" t="s">
        <v>3621</v>
      </c>
      <c r="AK9611" s="5" t="s">
        <v>3622</v>
      </c>
    </row>
    <row r="9612" spans="35:37">
      <c r="AI9612" s="468">
        <v>51984</v>
      </c>
      <c r="AJ9612" s="5" t="s">
        <v>3579</v>
      </c>
      <c r="AK9612" s="5" t="s">
        <v>3623</v>
      </c>
    </row>
    <row r="9613" spans="35:37">
      <c r="AI9613" s="468">
        <v>51985</v>
      </c>
      <c r="AJ9613" s="5" t="s">
        <v>3624</v>
      </c>
      <c r="AK9613" s="5" t="s">
        <v>3625</v>
      </c>
    </row>
    <row r="9614" spans="35:37">
      <c r="AI9614" s="468">
        <v>51986</v>
      </c>
      <c r="AJ9614" s="5" t="s">
        <v>3626</v>
      </c>
      <c r="AK9614" s="5" t="s">
        <v>3627</v>
      </c>
    </row>
    <row r="9615" spans="35:37">
      <c r="AI9615" s="468">
        <v>51987</v>
      </c>
      <c r="AJ9615" s="5" t="s">
        <v>3628</v>
      </c>
      <c r="AK9615" s="5" t="s">
        <v>3618</v>
      </c>
    </row>
    <row r="9616" spans="35:37">
      <c r="AI9616" s="468">
        <v>51988</v>
      </c>
      <c r="AJ9616" s="5" t="s">
        <v>3617</v>
      </c>
      <c r="AK9616" s="5" t="s">
        <v>3620</v>
      </c>
    </row>
    <row r="9617" spans="35:37">
      <c r="AI9617" s="468">
        <v>51989</v>
      </c>
      <c r="AJ9617" s="5" t="s">
        <v>3619</v>
      </c>
      <c r="AK9617" s="5" t="s">
        <v>3622</v>
      </c>
    </row>
    <row r="9618" spans="35:37">
      <c r="AI9618" s="468">
        <v>51990</v>
      </c>
      <c r="AJ9618" s="5" t="s">
        <v>3621</v>
      </c>
      <c r="AK9618" s="5" t="s">
        <v>3623</v>
      </c>
    </row>
    <row r="9619" spans="35:37">
      <c r="AI9619" s="468">
        <v>51991</v>
      </c>
      <c r="AJ9619" s="5" t="s">
        <v>3579</v>
      </c>
      <c r="AK9619" s="5" t="s">
        <v>3625</v>
      </c>
    </row>
    <row r="9620" spans="35:37">
      <c r="AI9620" s="468">
        <v>51992</v>
      </c>
      <c r="AJ9620" s="5" t="s">
        <v>3624</v>
      </c>
      <c r="AK9620" s="5" t="s">
        <v>3627</v>
      </c>
    </row>
    <row r="9621" spans="35:37">
      <c r="AI9621" s="468">
        <v>51993</v>
      </c>
      <c r="AJ9621" s="5" t="s">
        <v>3626</v>
      </c>
      <c r="AK9621" s="5" t="s">
        <v>3618</v>
      </c>
    </row>
    <row r="9622" spans="35:37">
      <c r="AI9622" s="468">
        <v>51994</v>
      </c>
      <c r="AJ9622" s="5" t="s">
        <v>3628</v>
      </c>
      <c r="AK9622" s="5" t="s">
        <v>3620</v>
      </c>
    </row>
    <row r="9623" spans="35:37">
      <c r="AI9623" s="468">
        <v>51995</v>
      </c>
      <c r="AJ9623" s="5" t="s">
        <v>3617</v>
      </c>
      <c r="AK9623" s="5" t="s">
        <v>3622</v>
      </c>
    </row>
    <row r="9624" spans="35:37">
      <c r="AI9624" s="468">
        <v>51996</v>
      </c>
      <c r="AJ9624" s="5" t="s">
        <v>3619</v>
      </c>
      <c r="AK9624" s="5" t="s">
        <v>3623</v>
      </c>
    </row>
    <row r="9625" spans="35:37">
      <c r="AI9625" s="468">
        <v>51997</v>
      </c>
      <c r="AJ9625" s="5" t="s">
        <v>3621</v>
      </c>
      <c r="AK9625" s="5" t="s">
        <v>3625</v>
      </c>
    </row>
    <row r="9626" spans="35:37">
      <c r="AI9626" s="468">
        <v>51998</v>
      </c>
      <c r="AJ9626" s="5" t="s">
        <v>3579</v>
      </c>
      <c r="AK9626" s="5" t="s">
        <v>3627</v>
      </c>
    </row>
    <row r="9627" spans="35:37">
      <c r="AI9627" s="468">
        <v>51999</v>
      </c>
      <c r="AJ9627" s="5" t="s">
        <v>3624</v>
      </c>
      <c r="AK9627" s="5" t="s">
        <v>3618</v>
      </c>
    </row>
    <row r="9628" spans="35:37">
      <c r="AI9628" s="468">
        <v>52000</v>
      </c>
      <c r="AJ9628" s="5" t="s">
        <v>3626</v>
      </c>
      <c r="AK9628" s="5" t="s">
        <v>3620</v>
      </c>
    </row>
    <row r="9629" spans="35:37">
      <c r="AI9629" s="468">
        <v>52001</v>
      </c>
      <c r="AJ9629" s="5" t="s">
        <v>3628</v>
      </c>
      <c r="AK9629" s="5" t="s">
        <v>3622</v>
      </c>
    </row>
    <row r="9630" spans="35:37">
      <c r="AI9630" s="468">
        <v>52002</v>
      </c>
      <c r="AJ9630" s="5" t="s">
        <v>3617</v>
      </c>
      <c r="AK9630" s="5" t="s">
        <v>3623</v>
      </c>
    </row>
    <row r="9631" spans="35:37">
      <c r="AI9631" s="468">
        <v>52003</v>
      </c>
      <c r="AJ9631" s="5" t="s">
        <v>3619</v>
      </c>
      <c r="AK9631" s="5" t="s">
        <v>3625</v>
      </c>
    </row>
    <row r="9632" spans="35:37">
      <c r="AI9632" s="468">
        <v>52004</v>
      </c>
      <c r="AJ9632" s="5" t="s">
        <v>3621</v>
      </c>
      <c r="AK9632" s="5" t="s">
        <v>3627</v>
      </c>
    </row>
    <row r="9633" spans="35:37">
      <c r="AI9633" s="468">
        <v>52005</v>
      </c>
      <c r="AJ9633" s="5" t="s">
        <v>3579</v>
      </c>
      <c r="AK9633" s="5" t="s">
        <v>3622</v>
      </c>
    </row>
    <row r="9634" spans="35:37">
      <c r="AI9634" s="468">
        <v>52006</v>
      </c>
      <c r="AJ9634" s="5" t="s">
        <v>3624</v>
      </c>
      <c r="AK9634" s="5" t="s">
        <v>3623</v>
      </c>
    </row>
    <row r="9635" spans="35:37">
      <c r="AI9635" s="468">
        <v>52007</v>
      </c>
      <c r="AJ9635" s="5" t="s">
        <v>3626</v>
      </c>
      <c r="AK9635" s="5" t="s">
        <v>3625</v>
      </c>
    </row>
    <row r="9636" spans="35:37">
      <c r="AI9636" s="468">
        <v>52008</v>
      </c>
      <c r="AJ9636" s="5" t="s">
        <v>3628</v>
      </c>
      <c r="AK9636" s="5" t="s">
        <v>3627</v>
      </c>
    </row>
    <row r="9637" spans="35:37">
      <c r="AI9637" s="468">
        <v>52009</v>
      </c>
      <c r="AJ9637" s="5" t="s">
        <v>3617</v>
      </c>
      <c r="AK9637" s="5" t="s">
        <v>3618</v>
      </c>
    </row>
    <row r="9638" spans="35:37">
      <c r="AI9638" s="468">
        <v>52010</v>
      </c>
      <c r="AJ9638" s="5" t="s">
        <v>3619</v>
      </c>
      <c r="AK9638" s="5" t="s">
        <v>3620</v>
      </c>
    </row>
    <row r="9639" spans="35:37">
      <c r="AI9639" s="468">
        <v>52011</v>
      </c>
      <c r="AJ9639" s="5" t="s">
        <v>3621</v>
      </c>
      <c r="AK9639" s="5" t="s">
        <v>3622</v>
      </c>
    </row>
    <row r="9640" spans="35:37">
      <c r="AI9640" s="468">
        <v>52012</v>
      </c>
      <c r="AJ9640" s="5" t="s">
        <v>3579</v>
      </c>
      <c r="AK9640" s="5" t="s">
        <v>3623</v>
      </c>
    </row>
    <row r="9641" spans="35:37">
      <c r="AI9641" s="468">
        <v>52013</v>
      </c>
      <c r="AJ9641" s="5" t="s">
        <v>3624</v>
      </c>
      <c r="AK9641" s="5" t="s">
        <v>3625</v>
      </c>
    </row>
    <row r="9642" spans="35:37">
      <c r="AI9642" s="468">
        <v>52014</v>
      </c>
      <c r="AJ9642" s="5" t="s">
        <v>3626</v>
      </c>
      <c r="AK9642" s="5" t="s">
        <v>3627</v>
      </c>
    </row>
    <row r="9643" spans="35:37">
      <c r="AI9643" s="468">
        <v>52015</v>
      </c>
      <c r="AJ9643" s="5" t="s">
        <v>3628</v>
      </c>
      <c r="AK9643" s="5" t="s">
        <v>3618</v>
      </c>
    </row>
    <row r="9644" spans="35:37">
      <c r="AI9644" s="468">
        <v>52016</v>
      </c>
      <c r="AJ9644" s="5" t="s">
        <v>3617</v>
      </c>
      <c r="AK9644" s="5" t="s">
        <v>3620</v>
      </c>
    </row>
    <row r="9645" spans="35:37">
      <c r="AI9645" s="468">
        <v>52017</v>
      </c>
      <c r="AJ9645" s="5" t="s">
        <v>3619</v>
      </c>
      <c r="AK9645" s="5" t="s">
        <v>3622</v>
      </c>
    </row>
    <row r="9646" spans="35:37">
      <c r="AI9646" s="468">
        <v>52018</v>
      </c>
      <c r="AJ9646" s="5" t="s">
        <v>3621</v>
      </c>
      <c r="AK9646" s="5" t="s">
        <v>3623</v>
      </c>
    </row>
    <row r="9647" spans="35:37">
      <c r="AI9647" s="468">
        <v>52019</v>
      </c>
      <c r="AJ9647" s="5" t="s">
        <v>3579</v>
      </c>
      <c r="AK9647" s="5" t="s">
        <v>3625</v>
      </c>
    </row>
    <row r="9648" spans="35:37">
      <c r="AI9648" s="468">
        <v>52020</v>
      </c>
      <c r="AJ9648" s="5" t="s">
        <v>3624</v>
      </c>
      <c r="AK9648" s="5" t="s">
        <v>3627</v>
      </c>
    </row>
    <row r="9649" spans="35:37">
      <c r="AI9649" s="468">
        <v>52021</v>
      </c>
      <c r="AJ9649" s="5" t="s">
        <v>3626</v>
      </c>
      <c r="AK9649" s="5" t="s">
        <v>3618</v>
      </c>
    </row>
    <row r="9650" spans="35:37">
      <c r="AI9650" s="468">
        <v>52022</v>
      </c>
      <c r="AJ9650" s="5" t="s">
        <v>3628</v>
      </c>
      <c r="AK9650" s="5" t="s">
        <v>3620</v>
      </c>
    </row>
    <row r="9651" spans="35:37">
      <c r="AI9651" s="468">
        <v>52023</v>
      </c>
      <c r="AJ9651" s="5" t="s">
        <v>3617</v>
      </c>
      <c r="AK9651" s="5" t="s">
        <v>3622</v>
      </c>
    </row>
    <row r="9652" spans="35:37">
      <c r="AI9652" s="468">
        <v>52024</v>
      </c>
      <c r="AJ9652" s="5" t="s">
        <v>3619</v>
      </c>
      <c r="AK9652" s="5" t="s">
        <v>3623</v>
      </c>
    </row>
    <row r="9653" spans="35:37">
      <c r="AI9653" s="468">
        <v>52025</v>
      </c>
      <c r="AJ9653" s="5" t="s">
        <v>3621</v>
      </c>
      <c r="AK9653" s="5" t="s">
        <v>3625</v>
      </c>
    </row>
    <row r="9654" spans="35:37">
      <c r="AI9654" s="468">
        <v>52026</v>
      </c>
      <c r="AJ9654" s="5" t="s">
        <v>3579</v>
      </c>
      <c r="AK9654" s="5" t="s">
        <v>3627</v>
      </c>
    </row>
    <row r="9655" spans="35:37">
      <c r="AI9655" s="468">
        <v>52027</v>
      </c>
      <c r="AJ9655" s="5" t="s">
        <v>3624</v>
      </c>
      <c r="AK9655" s="5" t="s">
        <v>3618</v>
      </c>
    </row>
    <row r="9656" spans="35:37">
      <c r="AI9656" s="468">
        <v>52028</v>
      </c>
      <c r="AJ9656" s="5" t="s">
        <v>3626</v>
      </c>
      <c r="AK9656" s="5" t="s">
        <v>3620</v>
      </c>
    </row>
    <row r="9657" spans="35:37">
      <c r="AI9657" s="468">
        <v>52029</v>
      </c>
      <c r="AJ9657" s="5" t="s">
        <v>3628</v>
      </c>
      <c r="AK9657" s="5" t="s">
        <v>3622</v>
      </c>
    </row>
    <row r="9658" spans="35:37">
      <c r="AI9658" s="468">
        <v>52030</v>
      </c>
      <c r="AJ9658" s="5" t="s">
        <v>3617</v>
      </c>
      <c r="AK9658" s="5" t="s">
        <v>3623</v>
      </c>
    </row>
    <row r="9659" spans="35:37">
      <c r="AI9659" s="468">
        <v>52031</v>
      </c>
      <c r="AJ9659" s="5" t="s">
        <v>3619</v>
      </c>
      <c r="AK9659" s="5" t="s">
        <v>3625</v>
      </c>
    </row>
    <row r="9660" spans="35:37">
      <c r="AI9660" s="468">
        <v>52032</v>
      </c>
      <c r="AJ9660" s="5" t="s">
        <v>3621</v>
      </c>
      <c r="AK9660" s="5" t="s">
        <v>3627</v>
      </c>
    </row>
    <row r="9661" spans="35:37">
      <c r="AI9661" s="468">
        <v>52033</v>
      </c>
      <c r="AJ9661" s="5" t="s">
        <v>3579</v>
      </c>
      <c r="AK9661" s="5" t="s">
        <v>3618</v>
      </c>
    </row>
    <row r="9662" spans="35:37">
      <c r="AI9662" s="468">
        <v>52034</v>
      </c>
      <c r="AJ9662" s="5" t="s">
        <v>3624</v>
      </c>
      <c r="AK9662" s="5" t="s">
        <v>3620</v>
      </c>
    </row>
    <row r="9663" spans="35:37">
      <c r="AI9663" s="468">
        <v>52035</v>
      </c>
      <c r="AJ9663" s="5" t="s">
        <v>3626</v>
      </c>
      <c r="AK9663" s="5" t="s">
        <v>3623</v>
      </c>
    </row>
    <row r="9664" spans="35:37">
      <c r="AI9664" s="468">
        <v>52036</v>
      </c>
      <c r="AJ9664" s="5" t="s">
        <v>3628</v>
      </c>
      <c r="AK9664" s="5" t="s">
        <v>3625</v>
      </c>
    </row>
    <row r="9665" spans="35:37">
      <c r="AI9665" s="468">
        <v>52037</v>
      </c>
      <c r="AJ9665" s="5" t="s">
        <v>3617</v>
      </c>
      <c r="AK9665" s="5" t="s">
        <v>3627</v>
      </c>
    </row>
    <row r="9666" spans="35:37">
      <c r="AI9666" s="468">
        <v>52038</v>
      </c>
      <c r="AJ9666" s="5" t="s">
        <v>3619</v>
      </c>
      <c r="AK9666" s="5" t="s">
        <v>3618</v>
      </c>
    </row>
    <row r="9667" spans="35:37">
      <c r="AI9667" s="468">
        <v>52039</v>
      </c>
      <c r="AJ9667" s="5" t="s">
        <v>3621</v>
      </c>
      <c r="AK9667" s="5" t="s">
        <v>3620</v>
      </c>
    </row>
    <row r="9668" spans="35:37">
      <c r="AI9668" s="468">
        <v>52040</v>
      </c>
      <c r="AJ9668" s="5" t="s">
        <v>3579</v>
      </c>
      <c r="AK9668" s="5" t="s">
        <v>3622</v>
      </c>
    </row>
    <row r="9669" spans="35:37">
      <c r="AI9669" s="468">
        <v>52041</v>
      </c>
      <c r="AJ9669" s="5" t="s">
        <v>3624</v>
      </c>
      <c r="AK9669" s="5" t="s">
        <v>3623</v>
      </c>
    </row>
    <row r="9670" spans="35:37">
      <c r="AI9670" s="468">
        <v>52042</v>
      </c>
      <c r="AJ9670" s="5" t="s">
        <v>3626</v>
      </c>
      <c r="AK9670" s="5" t="s">
        <v>3625</v>
      </c>
    </row>
    <row r="9671" spans="35:37">
      <c r="AI9671" s="468">
        <v>52043</v>
      </c>
      <c r="AJ9671" s="5" t="s">
        <v>3628</v>
      </c>
      <c r="AK9671" s="5" t="s">
        <v>3627</v>
      </c>
    </row>
    <row r="9672" spans="35:37">
      <c r="AI9672" s="468">
        <v>52044</v>
      </c>
      <c r="AJ9672" s="5" t="s">
        <v>3617</v>
      </c>
      <c r="AK9672" s="5" t="s">
        <v>3618</v>
      </c>
    </row>
    <row r="9673" spans="35:37">
      <c r="AI9673" s="468">
        <v>52045</v>
      </c>
      <c r="AJ9673" s="5" t="s">
        <v>3619</v>
      </c>
      <c r="AK9673" s="5" t="s">
        <v>3620</v>
      </c>
    </row>
    <row r="9674" spans="35:37">
      <c r="AI9674" s="468">
        <v>52046</v>
      </c>
      <c r="AJ9674" s="5" t="s">
        <v>3621</v>
      </c>
      <c r="AK9674" s="5" t="s">
        <v>3622</v>
      </c>
    </row>
    <row r="9675" spans="35:37">
      <c r="AI9675" s="468">
        <v>52047</v>
      </c>
      <c r="AJ9675" s="5" t="s">
        <v>3579</v>
      </c>
      <c r="AK9675" s="5" t="s">
        <v>3623</v>
      </c>
    </row>
    <row r="9676" spans="35:37">
      <c r="AI9676" s="468">
        <v>52048</v>
      </c>
      <c r="AJ9676" s="5" t="s">
        <v>3624</v>
      </c>
      <c r="AK9676" s="5" t="s">
        <v>3625</v>
      </c>
    </row>
    <row r="9677" spans="35:37">
      <c r="AI9677" s="468">
        <v>52049</v>
      </c>
      <c r="AJ9677" s="5" t="s">
        <v>3626</v>
      </c>
      <c r="AK9677" s="5" t="s">
        <v>3627</v>
      </c>
    </row>
    <row r="9678" spans="35:37">
      <c r="AI9678" s="468">
        <v>52050</v>
      </c>
      <c r="AJ9678" s="5" t="s">
        <v>3628</v>
      </c>
      <c r="AK9678" s="5" t="s">
        <v>3618</v>
      </c>
    </row>
    <row r="9679" spans="35:37">
      <c r="AI9679" s="468">
        <v>52051</v>
      </c>
      <c r="AJ9679" s="5" t="s">
        <v>3617</v>
      </c>
      <c r="AK9679" s="5" t="s">
        <v>3620</v>
      </c>
    </row>
    <row r="9680" spans="35:37">
      <c r="AI9680" s="468">
        <v>52052</v>
      </c>
      <c r="AJ9680" s="5" t="s">
        <v>3619</v>
      </c>
      <c r="AK9680" s="5" t="s">
        <v>3622</v>
      </c>
    </row>
    <row r="9681" spans="35:37">
      <c r="AI9681" s="468">
        <v>52053</v>
      </c>
      <c r="AJ9681" s="5" t="s">
        <v>3621</v>
      </c>
      <c r="AK9681" s="5" t="s">
        <v>3623</v>
      </c>
    </row>
    <row r="9682" spans="35:37">
      <c r="AI9682" s="468">
        <v>52054</v>
      </c>
      <c r="AJ9682" s="5" t="s">
        <v>3579</v>
      </c>
      <c r="AK9682" s="5" t="s">
        <v>3625</v>
      </c>
    </row>
    <row r="9683" spans="35:37">
      <c r="AI9683" s="468">
        <v>52055</v>
      </c>
      <c r="AJ9683" s="5" t="s">
        <v>3624</v>
      </c>
      <c r="AK9683" s="5" t="s">
        <v>3627</v>
      </c>
    </row>
    <row r="9684" spans="35:37">
      <c r="AI9684" s="468">
        <v>52056</v>
      </c>
      <c r="AJ9684" s="5" t="s">
        <v>3626</v>
      </c>
      <c r="AK9684" s="5" t="s">
        <v>3618</v>
      </c>
    </row>
    <row r="9685" spans="35:37">
      <c r="AI9685" s="468">
        <v>52057</v>
      </c>
      <c r="AJ9685" s="5" t="s">
        <v>3628</v>
      </c>
      <c r="AK9685" s="5" t="s">
        <v>3620</v>
      </c>
    </row>
    <row r="9686" spans="35:37">
      <c r="AI9686" s="468">
        <v>52058</v>
      </c>
      <c r="AJ9686" s="5" t="s">
        <v>3617</v>
      </c>
      <c r="AK9686" s="5" t="s">
        <v>3622</v>
      </c>
    </row>
    <row r="9687" spans="35:37">
      <c r="AI9687" s="468">
        <v>52059</v>
      </c>
      <c r="AJ9687" s="5" t="s">
        <v>3619</v>
      </c>
      <c r="AK9687" s="5" t="s">
        <v>3623</v>
      </c>
    </row>
    <row r="9688" spans="35:37">
      <c r="AI9688" s="468">
        <v>52060</v>
      </c>
      <c r="AJ9688" s="5" t="s">
        <v>3621</v>
      </c>
      <c r="AK9688" s="5" t="s">
        <v>3625</v>
      </c>
    </row>
    <row r="9689" spans="35:37">
      <c r="AI9689" s="468">
        <v>52061</v>
      </c>
      <c r="AJ9689" s="5" t="s">
        <v>3579</v>
      </c>
      <c r="AK9689" s="5" t="s">
        <v>3627</v>
      </c>
    </row>
    <row r="9690" spans="35:37">
      <c r="AI9690" s="468">
        <v>52062</v>
      </c>
      <c r="AJ9690" s="5" t="s">
        <v>3624</v>
      </c>
      <c r="AK9690" s="5" t="s">
        <v>3618</v>
      </c>
    </row>
    <row r="9691" spans="35:37">
      <c r="AI9691" s="468">
        <v>52063</v>
      </c>
      <c r="AJ9691" s="5" t="s">
        <v>3626</v>
      </c>
      <c r="AK9691" s="5" t="s">
        <v>3620</v>
      </c>
    </row>
    <row r="9692" spans="35:37">
      <c r="AI9692" s="468">
        <v>52064</v>
      </c>
      <c r="AJ9692" s="5" t="s">
        <v>3628</v>
      </c>
      <c r="AK9692" s="5" t="s">
        <v>3625</v>
      </c>
    </row>
    <row r="9693" spans="35:37">
      <c r="AI9693" s="468">
        <v>52065</v>
      </c>
      <c r="AJ9693" s="5" t="s">
        <v>3617</v>
      </c>
      <c r="AK9693" s="5" t="s">
        <v>3627</v>
      </c>
    </row>
    <row r="9694" spans="35:37">
      <c r="AI9694" s="468">
        <v>52066</v>
      </c>
      <c r="AJ9694" s="5" t="s">
        <v>3619</v>
      </c>
      <c r="AK9694" s="5" t="s">
        <v>3618</v>
      </c>
    </row>
    <row r="9695" spans="35:37">
      <c r="AI9695" s="468">
        <v>52067</v>
      </c>
      <c r="AJ9695" s="5" t="s">
        <v>3621</v>
      </c>
      <c r="AK9695" s="5" t="s">
        <v>3620</v>
      </c>
    </row>
    <row r="9696" spans="35:37">
      <c r="AI9696" s="468">
        <v>52068</v>
      </c>
      <c r="AJ9696" s="5" t="s">
        <v>3579</v>
      </c>
      <c r="AK9696" s="5" t="s">
        <v>3622</v>
      </c>
    </row>
    <row r="9697" spans="35:37">
      <c r="AI9697" s="468">
        <v>52069</v>
      </c>
      <c r="AJ9697" s="5" t="s">
        <v>3624</v>
      </c>
      <c r="AK9697" s="5" t="s">
        <v>3623</v>
      </c>
    </row>
    <row r="9698" spans="35:37">
      <c r="AI9698" s="468">
        <v>52070</v>
      </c>
      <c r="AJ9698" s="5" t="s">
        <v>3626</v>
      </c>
      <c r="AK9698" s="5" t="s">
        <v>3625</v>
      </c>
    </row>
    <row r="9699" spans="35:37">
      <c r="AI9699" s="468">
        <v>52071</v>
      </c>
      <c r="AJ9699" s="5" t="s">
        <v>3628</v>
      </c>
      <c r="AK9699" s="5" t="s">
        <v>3627</v>
      </c>
    </row>
    <row r="9700" spans="35:37">
      <c r="AI9700" s="468">
        <v>52072</v>
      </c>
      <c r="AJ9700" s="5" t="s">
        <v>3617</v>
      </c>
      <c r="AK9700" s="5" t="s">
        <v>3618</v>
      </c>
    </row>
    <row r="9701" spans="35:37">
      <c r="AI9701" s="468">
        <v>52073</v>
      </c>
      <c r="AJ9701" s="5" t="s">
        <v>3619</v>
      </c>
      <c r="AK9701" s="5" t="s">
        <v>3620</v>
      </c>
    </row>
    <row r="9702" spans="35:37">
      <c r="AI9702" s="468">
        <v>52074</v>
      </c>
      <c r="AJ9702" s="5" t="s">
        <v>3621</v>
      </c>
      <c r="AK9702" s="5" t="s">
        <v>3622</v>
      </c>
    </row>
    <row r="9703" spans="35:37">
      <c r="AI9703" s="468">
        <v>52075</v>
      </c>
      <c r="AJ9703" s="5" t="s">
        <v>3579</v>
      </c>
      <c r="AK9703" s="5" t="s">
        <v>3623</v>
      </c>
    </row>
    <row r="9704" spans="35:37">
      <c r="AI9704" s="468">
        <v>52076</v>
      </c>
      <c r="AJ9704" s="5" t="s">
        <v>3624</v>
      </c>
      <c r="AK9704" s="5" t="s">
        <v>3625</v>
      </c>
    </row>
    <row r="9705" spans="35:37">
      <c r="AI9705" s="468">
        <v>52077</v>
      </c>
      <c r="AJ9705" s="5" t="s">
        <v>3626</v>
      </c>
      <c r="AK9705" s="5" t="s">
        <v>3627</v>
      </c>
    </row>
    <row r="9706" spans="35:37">
      <c r="AI9706" s="468">
        <v>52078</v>
      </c>
      <c r="AJ9706" s="5" t="s">
        <v>3628</v>
      </c>
      <c r="AK9706" s="5" t="s">
        <v>3618</v>
      </c>
    </row>
    <row r="9707" spans="35:37">
      <c r="AI9707" s="468">
        <v>52079</v>
      </c>
      <c r="AJ9707" s="5" t="s">
        <v>3617</v>
      </c>
      <c r="AK9707" s="5" t="s">
        <v>3620</v>
      </c>
    </row>
    <row r="9708" spans="35:37">
      <c r="AI9708" s="468">
        <v>52080</v>
      </c>
      <c r="AJ9708" s="5" t="s">
        <v>3619</v>
      </c>
      <c r="AK9708" s="5" t="s">
        <v>3622</v>
      </c>
    </row>
    <row r="9709" spans="35:37">
      <c r="AI9709" s="468">
        <v>52081</v>
      </c>
      <c r="AJ9709" s="5" t="s">
        <v>3621</v>
      </c>
      <c r="AK9709" s="5" t="s">
        <v>3623</v>
      </c>
    </row>
    <row r="9710" spans="35:37">
      <c r="AI9710" s="468">
        <v>52082</v>
      </c>
      <c r="AJ9710" s="5" t="s">
        <v>3579</v>
      </c>
      <c r="AK9710" s="5" t="s">
        <v>3625</v>
      </c>
    </row>
    <row r="9711" spans="35:37">
      <c r="AI9711" s="468">
        <v>52083</v>
      </c>
      <c r="AJ9711" s="5" t="s">
        <v>3624</v>
      </c>
      <c r="AK9711" s="5" t="s">
        <v>3627</v>
      </c>
    </row>
    <row r="9712" spans="35:37">
      <c r="AI9712" s="468">
        <v>52084</v>
      </c>
      <c r="AJ9712" s="5" t="s">
        <v>3626</v>
      </c>
      <c r="AK9712" s="5" t="s">
        <v>3618</v>
      </c>
    </row>
    <row r="9713" spans="35:37">
      <c r="AI9713" s="468">
        <v>52085</v>
      </c>
      <c r="AJ9713" s="5" t="s">
        <v>3628</v>
      </c>
      <c r="AK9713" s="5" t="s">
        <v>3620</v>
      </c>
    </row>
    <row r="9714" spans="35:37">
      <c r="AI9714" s="468">
        <v>52086</v>
      </c>
      <c r="AJ9714" s="5" t="s">
        <v>3617</v>
      </c>
      <c r="AK9714" s="5" t="s">
        <v>3622</v>
      </c>
    </row>
    <row r="9715" spans="35:37">
      <c r="AI9715" s="468">
        <v>52087</v>
      </c>
      <c r="AJ9715" s="5" t="s">
        <v>3619</v>
      </c>
      <c r="AK9715" s="5" t="s">
        <v>3623</v>
      </c>
    </row>
    <row r="9716" spans="35:37">
      <c r="AI9716" s="468">
        <v>52088</v>
      </c>
      <c r="AJ9716" s="5" t="s">
        <v>3621</v>
      </c>
      <c r="AK9716" s="5" t="s">
        <v>3625</v>
      </c>
    </row>
    <row r="9717" spans="35:37">
      <c r="AI9717" s="468">
        <v>52089</v>
      </c>
      <c r="AJ9717" s="5" t="s">
        <v>3579</v>
      </c>
      <c r="AK9717" s="5" t="s">
        <v>3627</v>
      </c>
    </row>
    <row r="9718" spans="35:37">
      <c r="AI9718" s="468">
        <v>52090</v>
      </c>
      <c r="AJ9718" s="5" t="s">
        <v>3624</v>
      </c>
      <c r="AK9718" s="5" t="s">
        <v>3618</v>
      </c>
    </row>
    <row r="9719" spans="35:37">
      <c r="AI9719" s="468">
        <v>52091</v>
      </c>
      <c r="AJ9719" s="5" t="s">
        <v>3626</v>
      </c>
      <c r="AK9719" s="5" t="s">
        <v>3620</v>
      </c>
    </row>
    <row r="9720" spans="35:37">
      <c r="AI9720" s="468">
        <v>52092</v>
      </c>
      <c r="AJ9720" s="5" t="s">
        <v>3628</v>
      </c>
      <c r="AK9720" s="5" t="s">
        <v>3622</v>
      </c>
    </row>
    <row r="9721" spans="35:37">
      <c r="AI9721" s="468">
        <v>52093</v>
      </c>
      <c r="AJ9721" s="5" t="s">
        <v>3617</v>
      </c>
      <c r="AK9721" s="5" t="s">
        <v>3623</v>
      </c>
    </row>
    <row r="9722" spans="35:37">
      <c r="AI9722" s="468">
        <v>52094</v>
      </c>
      <c r="AJ9722" s="5" t="s">
        <v>3619</v>
      </c>
      <c r="AK9722" s="5" t="s">
        <v>3627</v>
      </c>
    </row>
    <row r="9723" spans="35:37">
      <c r="AI9723" s="468">
        <v>52095</v>
      </c>
      <c r="AJ9723" s="5" t="s">
        <v>3621</v>
      </c>
      <c r="AK9723" s="5" t="s">
        <v>3618</v>
      </c>
    </row>
    <row r="9724" spans="35:37">
      <c r="AI9724" s="468">
        <v>52096</v>
      </c>
      <c r="AJ9724" s="5" t="s">
        <v>3579</v>
      </c>
      <c r="AK9724" s="5" t="s">
        <v>3620</v>
      </c>
    </row>
    <row r="9725" spans="35:37">
      <c r="AI9725" s="468">
        <v>52097</v>
      </c>
      <c r="AJ9725" s="5" t="s">
        <v>3624</v>
      </c>
      <c r="AK9725" s="5" t="s">
        <v>3622</v>
      </c>
    </row>
    <row r="9726" spans="35:37">
      <c r="AI9726" s="468">
        <v>52098</v>
      </c>
      <c r="AJ9726" s="5" t="s">
        <v>3626</v>
      </c>
      <c r="AK9726" s="5" t="s">
        <v>3623</v>
      </c>
    </row>
    <row r="9727" spans="35:37">
      <c r="AI9727" s="468">
        <v>52099</v>
      </c>
      <c r="AJ9727" s="5" t="s">
        <v>3628</v>
      </c>
      <c r="AK9727" s="5" t="s">
        <v>3625</v>
      </c>
    </row>
    <row r="9728" spans="35:37">
      <c r="AI9728" s="468">
        <v>52100</v>
      </c>
      <c r="AJ9728" s="5" t="s">
        <v>3617</v>
      </c>
      <c r="AK9728" s="5" t="s">
        <v>3627</v>
      </c>
    </row>
    <row r="9729" spans="35:37">
      <c r="AI9729" s="468">
        <v>52101</v>
      </c>
      <c r="AJ9729" s="5" t="s">
        <v>3619</v>
      </c>
      <c r="AK9729" s="5" t="s">
        <v>3618</v>
      </c>
    </row>
    <row r="9730" spans="35:37">
      <c r="AI9730" s="468">
        <v>52102</v>
      </c>
      <c r="AJ9730" s="5" t="s">
        <v>3621</v>
      </c>
      <c r="AK9730" s="5" t="s">
        <v>3620</v>
      </c>
    </row>
    <row r="9731" spans="35:37">
      <c r="AI9731" s="468">
        <v>52103</v>
      </c>
      <c r="AJ9731" s="5" t="s">
        <v>3579</v>
      </c>
      <c r="AK9731" s="5" t="s">
        <v>3622</v>
      </c>
    </row>
    <row r="9732" spans="35:37">
      <c r="AI9732" s="468">
        <v>52104</v>
      </c>
      <c r="AJ9732" s="5" t="s">
        <v>3624</v>
      </c>
      <c r="AK9732" s="5" t="s">
        <v>3623</v>
      </c>
    </row>
    <row r="9733" spans="35:37">
      <c r="AI9733" s="468">
        <v>52105</v>
      </c>
      <c r="AJ9733" s="5" t="s">
        <v>3626</v>
      </c>
      <c r="AK9733" s="5" t="s">
        <v>3625</v>
      </c>
    </row>
    <row r="9734" spans="35:37">
      <c r="AI9734" s="468">
        <v>52106</v>
      </c>
      <c r="AJ9734" s="5" t="s">
        <v>3628</v>
      </c>
      <c r="AK9734" s="5" t="s">
        <v>3627</v>
      </c>
    </row>
    <row r="9735" spans="35:37">
      <c r="AI9735" s="468">
        <v>52107</v>
      </c>
      <c r="AJ9735" s="5" t="s">
        <v>3617</v>
      </c>
      <c r="AK9735" s="5" t="s">
        <v>3618</v>
      </c>
    </row>
    <row r="9736" spans="35:37">
      <c r="AI9736" s="468">
        <v>52108</v>
      </c>
      <c r="AJ9736" s="5" t="s">
        <v>3619</v>
      </c>
      <c r="AK9736" s="5" t="s">
        <v>3620</v>
      </c>
    </row>
    <row r="9737" spans="35:37">
      <c r="AI9737" s="468">
        <v>52109</v>
      </c>
      <c r="AJ9737" s="5" t="s">
        <v>3621</v>
      </c>
      <c r="AK9737" s="5" t="s">
        <v>3622</v>
      </c>
    </row>
    <row r="9738" spans="35:37">
      <c r="AI9738" s="468">
        <v>52110</v>
      </c>
      <c r="AJ9738" s="5" t="s">
        <v>3579</v>
      </c>
      <c r="AK9738" s="5" t="s">
        <v>3623</v>
      </c>
    </row>
    <row r="9739" spans="35:37">
      <c r="AI9739" s="468">
        <v>52111</v>
      </c>
      <c r="AJ9739" s="5" t="s">
        <v>3624</v>
      </c>
      <c r="AK9739" s="5" t="s">
        <v>3625</v>
      </c>
    </row>
    <row r="9740" spans="35:37">
      <c r="AI9740" s="468">
        <v>52112</v>
      </c>
      <c r="AJ9740" s="5" t="s">
        <v>3626</v>
      </c>
      <c r="AK9740" s="5" t="s">
        <v>3627</v>
      </c>
    </row>
    <row r="9741" spans="35:37">
      <c r="AI9741" s="468">
        <v>52113</v>
      </c>
      <c r="AJ9741" s="5" t="s">
        <v>3628</v>
      </c>
      <c r="AK9741" s="5" t="s">
        <v>3618</v>
      </c>
    </row>
    <row r="9742" spans="35:37">
      <c r="AI9742" s="468">
        <v>52114</v>
      </c>
      <c r="AJ9742" s="5" t="s">
        <v>3617</v>
      </c>
      <c r="AK9742" s="5" t="s">
        <v>3620</v>
      </c>
    </row>
    <row r="9743" spans="35:37">
      <c r="AI9743" s="468">
        <v>52115</v>
      </c>
      <c r="AJ9743" s="5" t="s">
        <v>3619</v>
      </c>
      <c r="AK9743" s="5" t="s">
        <v>3622</v>
      </c>
    </row>
    <row r="9744" spans="35:37">
      <c r="AI9744" s="468">
        <v>52116</v>
      </c>
      <c r="AJ9744" s="5" t="s">
        <v>3621</v>
      </c>
      <c r="AK9744" s="5" t="s">
        <v>3623</v>
      </c>
    </row>
    <row r="9745" spans="35:37">
      <c r="AI9745" s="468">
        <v>52117</v>
      </c>
      <c r="AJ9745" s="5" t="s">
        <v>3579</v>
      </c>
      <c r="AK9745" s="5" t="s">
        <v>3625</v>
      </c>
    </row>
    <row r="9746" spans="35:37">
      <c r="AI9746" s="468">
        <v>52118</v>
      </c>
      <c r="AJ9746" s="5" t="s">
        <v>3624</v>
      </c>
      <c r="AK9746" s="5" t="s">
        <v>3627</v>
      </c>
    </row>
    <row r="9747" spans="35:37">
      <c r="AI9747" s="468">
        <v>52119</v>
      </c>
      <c r="AJ9747" s="5" t="s">
        <v>3626</v>
      </c>
      <c r="AK9747" s="5" t="s">
        <v>3618</v>
      </c>
    </row>
    <row r="9748" spans="35:37">
      <c r="AI9748" s="468">
        <v>52120</v>
      </c>
      <c r="AJ9748" s="5" t="s">
        <v>3628</v>
      </c>
      <c r="AK9748" s="5" t="s">
        <v>3620</v>
      </c>
    </row>
    <row r="9749" spans="35:37">
      <c r="AI9749" s="468">
        <v>52121</v>
      </c>
      <c r="AJ9749" s="5" t="s">
        <v>3617</v>
      </c>
      <c r="AK9749" s="5" t="s">
        <v>3622</v>
      </c>
    </row>
    <row r="9750" spans="35:37">
      <c r="AI9750" s="468">
        <v>52122</v>
      </c>
      <c r="AJ9750" s="5" t="s">
        <v>3619</v>
      </c>
      <c r="AK9750" s="5" t="s">
        <v>3623</v>
      </c>
    </row>
    <row r="9751" spans="35:37">
      <c r="AI9751" s="468">
        <v>52123</v>
      </c>
      <c r="AJ9751" s="5" t="s">
        <v>3621</v>
      </c>
      <c r="AK9751" s="5" t="s">
        <v>3618</v>
      </c>
    </row>
    <row r="9752" spans="35:37">
      <c r="AI9752" s="468">
        <v>52124</v>
      </c>
      <c r="AJ9752" s="5" t="s">
        <v>3579</v>
      </c>
      <c r="AK9752" s="5" t="s">
        <v>3620</v>
      </c>
    </row>
    <row r="9753" spans="35:37">
      <c r="AI9753" s="468">
        <v>52125</v>
      </c>
      <c r="AJ9753" s="5" t="s">
        <v>3624</v>
      </c>
      <c r="AK9753" s="5" t="s">
        <v>3622</v>
      </c>
    </row>
    <row r="9754" spans="35:37">
      <c r="AI9754" s="468">
        <v>52126</v>
      </c>
      <c r="AJ9754" s="5" t="s">
        <v>3626</v>
      </c>
      <c r="AK9754" s="5" t="s">
        <v>3623</v>
      </c>
    </row>
    <row r="9755" spans="35:37">
      <c r="AI9755" s="468">
        <v>52127</v>
      </c>
      <c r="AJ9755" s="5" t="s">
        <v>3628</v>
      </c>
      <c r="AK9755" s="5" t="s">
        <v>3625</v>
      </c>
    </row>
    <row r="9756" spans="35:37">
      <c r="AI9756" s="468">
        <v>52128</v>
      </c>
      <c r="AJ9756" s="5" t="s">
        <v>3617</v>
      </c>
      <c r="AK9756" s="5" t="s">
        <v>3627</v>
      </c>
    </row>
    <row r="9757" spans="35:37">
      <c r="AI9757" s="468">
        <v>52129</v>
      </c>
      <c r="AJ9757" s="5" t="s">
        <v>3619</v>
      </c>
      <c r="AK9757" s="5" t="s">
        <v>3618</v>
      </c>
    </row>
    <row r="9758" spans="35:37">
      <c r="AI9758" s="468">
        <v>52130</v>
      </c>
      <c r="AJ9758" s="5" t="s">
        <v>3621</v>
      </c>
      <c r="AK9758" s="5" t="s">
        <v>3620</v>
      </c>
    </row>
    <row r="9759" spans="35:37">
      <c r="AI9759" s="468">
        <v>52131</v>
      </c>
      <c r="AJ9759" s="5" t="s">
        <v>3579</v>
      </c>
      <c r="AK9759" s="5" t="s">
        <v>3622</v>
      </c>
    </row>
    <row r="9760" spans="35:37">
      <c r="AI9760" s="468">
        <v>52132</v>
      </c>
      <c r="AJ9760" s="5" t="s">
        <v>3624</v>
      </c>
      <c r="AK9760" s="5" t="s">
        <v>3623</v>
      </c>
    </row>
    <row r="9761" spans="35:37">
      <c r="AI9761" s="468">
        <v>52133</v>
      </c>
      <c r="AJ9761" s="5" t="s">
        <v>3626</v>
      </c>
      <c r="AK9761" s="5" t="s">
        <v>3625</v>
      </c>
    </row>
    <row r="9762" spans="35:37">
      <c r="AI9762" s="468">
        <v>52134</v>
      </c>
      <c r="AJ9762" s="5" t="s">
        <v>3628</v>
      </c>
      <c r="AK9762" s="5" t="s">
        <v>3627</v>
      </c>
    </row>
    <row r="9763" spans="35:37">
      <c r="AI9763" s="468">
        <v>52135</v>
      </c>
      <c r="AJ9763" s="5" t="s">
        <v>3617</v>
      </c>
      <c r="AK9763" s="5" t="s">
        <v>3618</v>
      </c>
    </row>
    <row r="9764" spans="35:37">
      <c r="AI9764" s="468">
        <v>52136</v>
      </c>
      <c r="AJ9764" s="5" t="s">
        <v>3619</v>
      </c>
      <c r="AK9764" s="5" t="s">
        <v>3620</v>
      </c>
    </row>
    <row r="9765" spans="35:37">
      <c r="AI9765" s="468">
        <v>52137</v>
      </c>
      <c r="AJ9765" s="5" t="s">
        <v>3621</v>
      </c>
      <c r="AK9765" s="5" t="s">
        <v>3622</v>
      </c>
    </row>
    <row r="9766" spans="35:37">
      <c r="AI9766" s="468">
        <v>52138</v>
      </c>
      <c r="AJ9766" s="5" t="s">
        <v>3579</v>
      </c>
      <c r="AK9766" s="5" t="s">
        <v>3623</v>
      </c>
    </row>
    <row r="9767" spans="35:37">
      <c r="AI9767" s="468">
        <v>52139</v>
      </c>
      <c r="AJ9767" s="5" t="s">
        <v>3624</v>
      </c>
      <c r="AK9767" s="5" t="s">
        <v>3625</v>
      </c>
    </row>
    <row r="9768" spans="35:37">
      <c r="AI9768" s="468">
        <v>52140</v>
      </c>
      <c r="AJ9768" s="5" t="s">
        <v>3626</v>
      </c>
      <c r="AK9768" s="5" t="s">
        <v>3627</v>
      </c>
    </row>
    <row r="9769" spans="35:37">
      <c r="AI9769" s="468">
        <v>52141</v>
      </c>
      <c r="AJ9769" s="5" t="s">
        <v>3628</v>
      </c>
      <c r="AK9769" s="5" t="s">
        <v>3618</v>
      </c>
    </row>
    <row r="9770" spans="35:37">
      <c r="AI9770" s="468">
        <v>52142</v>
      </c>
      <c r="AJ9770" s="5" t="s">
        <v>3617</v>
      </c>
      <c r="AK9770" s="5" t="s">
        <v>3620</v>
      </c>
    </row>
    <row r="9771" spans="35:37">
      <c r="AI9771" s="468">
        <v>52143</v>
      </c>
      <c r="AJ9771" s="5" t="s">
        <v>3619</v>
      </c>
      <c r="AK9771" s="5" t="s">
        <v>3622</v>
      </c>
    </row>
    <row r="9772" spans="35:37">
      <c r="AI9772" s="468">
        <v>52144</v>
      </c>
      <c r="AJ9772" s="5" t="s">
        <v>3621</v>
      </c>
      <c r="AK9772" s="5" t="s">
        <v>3623</v>
      </c>
    </row>
    <row r="9773" spans="35:37">
      <c r="AI9773" s="468">
        <v>52145</v>
      </c>
      <c r="AJ9773" s="5" t="s">
        <v>3579</v>
      </c>
      <c r="AK9773" s="5" t="s">
        <v>3625</v>
      </c>
    </row>
    <row r="9774" spans="35:37">
      <c r="AI9774" s="468">
        <v>52146</v>
      </c>
      <c r="AJ9774" s="5" t="s">
        <v>3624</v>
      </c>
      <c r="AK9774" s="5" t="s">
        <v>3627</v>
      </c>
    </row>
    <row r="9775" spans="35:37">
      <c r="AI9775" s="468">
        <v>52147</v>
      </c>
      <c r="AJ9775" s="5" t="s">
        <v>3626</v>
      </c>
      <c r="AK9775" s="5" t="s">
        <v>3618</v>
      </c>
    </row>
    <row r="9776" spans="35:37">
      <c r="AI9776" s="468">
        <v>52148</v>
      </c>
      <c r="AJ9776" s="5" t="s">
        <v>3628</v>
      </c>
      <c r="AK9776" s="5" t="s">
        <v>3620</v>
      </c>
    </row>
    <row r="9777" spans="35:37">
      <c r="AI9777" s="468">
        <v>52149</v>
      </c>
      <c r="AJ9777" s="5" t="s">
        <v>3617</v>
      </c>
      <c r="AK9777" s="5" t="s">
        <v>3622</v>
      </c>
    </row>
    <row r="9778" spans="35:37">
      <c r="AI9778" s="468">
        <v>52150</v>
      </c>
      <c r="AJ9778" s="5" t="s">
        <v>3619</v>
      </c>
      <c r="AK9778" s="5" t="s">
        <v>3623</v>
      </c>
    </row>
    <row r="9779" spans="35:37">
      <c r="AI9779" s="468">
        <v>52151</v>
      </c>
      <c r="AJ9779" s="5" t="s">
        <v>3621</v>
      </c>
      <c r="AK9779" s="5" t="s">
        <v>3625</v>
      </c>
    </row>
    <row r="9780" spans="35:37">
      <c r="AI9780" s="468">
        <v>52152</v>
      </c>
      <c r="AJ9780" s="5" t="s">
        <v>3579</v>
      </c>
      <c r="AK9780" s="5" t="s">
        <v>3627</v>
      </c>
    </row>
    <row r="9781" spans="35:37">
      <c r="AI9781" s="468">
        <v>52153</v>
      </c>
      <c r="AJ9781" s="5" t="s">
        <v>3624</v>
      </c>
      <c r="AK9781" s="5" t="s">
        <v>3620</v>
      </c>
    </row>
    <row r="9782" spans="35:37">
      <c r="AI9782" s="468">
        <v>52154</v>
      </c>
      <c r="AJ9782" s="5" t="s">
        <v>3626</v>
      </c>
      <c r="AK9782" s="5" t="s">
        <v>3622</v>
      </c>
    </row>
    <row r="9783" spans="35:37">
      <c r="AI9783" s="468">
        <v>52155</v>
      </c>
      <c r="AJ9783" s="5" t="s">
        <v>3628</v>
      </c>
      <c r="AK9783" s="5" t="s">
        <v>3623</v>
      </c>
    </row>
    <row r="9784" spans="35:37">
      <c r="AI9784" s="468">
        <v>52156</v>
      </c>
      <c r="AJ9784" s="5" t="s">
        <v>3617</v>
      </c>
      <c r="AK9784" s="5" t="s">
        <v>3625</v>
      </c>
    </row>
    <row r="9785" spans="35:37">
      <c r="AI9785" s="468">
        <v>52157</v>
      </c>
      <c r="AJ9785" s="5" t="s">
        <v>3619</v>
      </c>
      <c r="AK9785" s="5" t="s">
        <v>3627</v>
      </c>
    </row>
    <row r="9786" spans="35:37">
      <c r="AI9786" s="468">
        <v>52158</v>
      </c>
      <c r="AJ9786" s="5" t="s">
        <v>3621</v>
      </c>
      <c r="AK9786" s="5" t="s">
        <v>3618</v>
      </c>
    </row>
    <row r="9787" spans="35:37">
      <c r="AI9787" s="468">
        <v>52159</v>
      </c>
      <c r="AJ9787" s="5" t="s">
        <v>3579</v>
      </c>
      <c r="AK9787" s="5" t="s">
        <v>3620</v>
      </c>
    </row>
    <row r="9788" spans="35:37">
      <c r="AI9788" s="468">
        <v>52160</v>
      </c>
      <c r="AJ9788" s="5" t="s">
        <v>3624</v>
      </c>
      <c r="AK9788" s="5" t="s">
        <v>3622</v>
      </c>
    </row>
    <row r="9789" spans="35:37">
      <c r="AI9789" s="468">
        <v>52161</v>
      </c>
      <c r="AJ9789" s="5" t="s">
        <v>3626</v>
      </c>
      <c r="AK9789" s="5" t="s">
        <v>3623</v>
      </c>
    </row>
    <row r="9790" spans="35:37">
      <c r="AI9790" s="468">
        <v>52162</v>
      </c>
      <c r="AJ9790" s="5" t="s">
        <v>3628</v>
      </c>
      <c r="AK9790" s="5" t="s">
        <v>3625</v>
      </c>
    </row>
    <row r="9791" spans="35:37">
      <c r="AI9791" s="468">
        <v>52163</v>
      </c>
      <c r="AJ9791" s="5" t="s">
        <v>3617</v>
      </c>
      <c r="AK9791" s="5" t="s">
        <v>3627</v>
      </c>
    </row>
    <row r="9792" spans="35:37">
      <c r="AI9792" s="468">
        <v>52164</v>
      </c>
      <c r="AJ9792" s="5" t="s">
        <v>3619</v>
      </c>
      <c r="AK9792" s="5" t="s">
        <v>3618</v>
      </c>
    </row>
    <row r="9793" spans="35:37">
      <c r="AI9793" s="468">
        <v>52165</v>
      </c>
      <c r="AJ9793" s="5" t="s">
        <v>3621</v>
      </c>
      <c r="AK9793" s="5" t="s">
        <v>3620</v>
      </c>
    </row>
    <row r="9794" spans="35:37">
      <c r="AI9794" s="468">
        <v>52166</v>
      </c>
      <c r="AJ9794" s="5" t="s">
        <v>3579</v>
      </c>
      <c r="AK9794" s="5" t="s">
        <v>3622</v>
      </c>
    </row>
    <row r="9795" spans="35:37">
      <c r="AI9795" s="468">
        <v>52167</v>
      </c>
      <c r="AJ9795" s="5" t="s">
        <v>3624</v>
      </c>
      <c r="AK9795" s="5" t="s">
        <v>3623</v>
      </c>
    </row>
    <row r="9796" spans="35:37">
      <c r="AI9796" s="468">
        <v>52168</v>
      </c>
      <c r="AJ9796" s="5" t="s">
        <v>3626</v>
      </c>
      <c r="AK9796" s="5" t="s">
        <v>3625</v>
      </c>
    </row>
    <row r="9797" spans="35:37">
      <c r="AI9797" s="468">
        <v>52169</v>
      </c>
      <c r="AJ9797" s="5" t="s">
        <v>3628</v>
      </c>
      <c r="AK9797" s="5" t="s">
        <v>3627</v>
      </c>
    </row>
    <row r="9798" spans="35:37">
      <c r="AI9798" s="468">
        <v>52170</v>
      </c>
      <c r="AJ9798" s="5" t="s">
        <v>3617</v>
      </c>
      <c r="AK9798" s="5" t="s">
        <v>3618</v>
      </c>
    </row>
    <row r="9799" spans="35:37">
      <c r="AI9799" s="468">
        <v>52171</v>
      </c>
      <c r="AJ9799" s="5" t="s">
        <v>3619</v>
      </c>
      <c r="AK9799" s="5" t="s">
        <v>3620</v>
      </c>
    </row>
    <row r="9800" spans="35:37">
      <c r="AI9800" s="468">
        <v>52172</v>
      </c>
      <c r="AJ9800" s="5" t="s">
        <v>3621</v>
      </c>
      <c r="AK9800" s="5" t="s">
        <v>3622</v>
      </c>
    </row>
    <row r="9801" spans="35:37">
      <c r="AI9801" s="468">
        <v>52173</v>
      </c>
      <c r="AJ9801" s="5" t="s">
        <v>3579</v>
      </c>
      <c r="AK9801" s="5" t="s">
        <v>3623</v>
      </c>
    </row>
    <row r="9802" spans="35:37">
      <c r="AI9802" s="468">
        <v>52174</v>
      </c>
      <c r="AJ9802" s="5" t="s">
        <v>3624</v>
      </c>
      <c r="AK9802" s="5" t="s">
        <v>3625</v>
      </c>
    </row>
    <row r="9803" spans="35:37">
      <c r="AI9803" s="468">
        <v>52175</v>
      </c>
      <c r="AJ9803" s="5" t="s">
        <v>3626</v>
      </c>
      <c r="AK9803" s="5" t="s">
        <v>3627</v>
      </c>
    </row>
    <row r="9804" spans="35:37">
      <c r="AI9804" s="468">
        <v>52176</v>
      </c>
      <c r="AJ9804" s="5" t="s">
        <v>3628</v>
      </c>
      <c r="AK9804" s="5" t="s">
        <v>3618</v>
      </c>
    </row>
    <row r="9805" spans="35:37">
      <c r="AI9805" s="468">
        <v>52177</v>
      </c>
      <c r="AJ9805" s="5" t="s">
        <v>3617</v>
      </c>
      <c r="AK9805" s="5" t="s">
        <v>3620</v>
      </c>
    </row>
    <row r="9806" spans="35:37">
      <c r="AI9806" s="468">
        <v>52178</v>
      </c>
      <c r="AJ9806" s="5" t="s">
        <v>3619</v>
      </c>
      <c r="AK9806" s="5" t="s">
        <v>3622</v>
      </c>
    </row>
    <row r="9807" spans="35:37">
      <c r="AI9807" s="468">
        <v>52179</v>
      </c>
      <c r="AJ9807" s="5" t="s">
        <v>3621</v>
      </c>
      <c r="AK9807" s="5" t="s">
        <v>3623</v>
      </c>
    </row>
    <row r="9808" spans="35:37">
      <c r="AI9808" s="468">
        <v>52180</v>
      </c>
      <c r="AJ9808" s="5" t="s">
        <v>3579</v>
      </c>
      <c r="AK9808" s="5" t="s">
        <v>3625</v>
      </c>
    </row>
    <row r="9809" spans="35:37">
      <c r="AI9809" s="468">
        <v>52181</v>
      </c>
      <c r="AJ9809" s="5" t="s">
        <v>3624</v>
      </c>
      <c r="AK9809" s="5" t="s">
        <v>3627</v>
      </c>
    </row>
    <row r="9810" spans="35:37">
      <c r="AI9810" s="468">
        <v>52182</v>
      </c>
      <c r="AJ9810" s="5" t="s">
        <v>3626</v>
      </c>
      <c r="AK9810" s="5" t="s">
        <v>3618</v>
      </c>
    </row>
    <row r="9811" spans="35:37">
      <c r="AI9811" s="468">
        <v>52183</v>
      </c>
      <c r="AJ9811" s="5" t="s">
        <v>3628</v>
      </c>
      <c r="AK9811" s="5" t="s">
        <v>3622</v>
      </c>
    </row>
    <row r="9812" spans="35:37">
      <c r="AI9812" s="468">
        <v>52184</v>
      </c>
      <c r="AJ9812" s="5" t="s">
        <v>3617</v>
      </c>
      <c r="AK9812" s="5" t="s">
        <v>3623</v>
      </c>
    </row>
    <row r="9813" spans="35:37">
      <c r="AI9813" s="468">
        <v>52185</v>
      </c>
      <c r="AJ9813" s="5" t="s">
        <v>3619</v>
      </c>
      <c r="AK9813" s="5" t="s">
        <v>3625</v>
      </c>
    </row>
    <row r="9814" spans="35:37">
      <c r="AI9814" s="468">
        <v>52186</v>
      </c>
      <c r="AJ9814" s="5" t="s">
        <v>3621</v>
      </c>
      <c r="AK9814" s="5" t="s">
        <v>3627</v>
      </c>
    </row>
    <row r="9815" spans="35:37">
      <c r="AI9815" s="468">
        <v>52187</v>
      </c>
      <c r="AJ9815" s="5" t="s">
        <v>3579</v>
      </c>
      <c r="AK9815" s="5" t="s">
        <v>3618</v>
      </c>
    </row>
    <row r="9816" spans="35:37">
      <c r="AI9816" s="468">
        <v>52188</v>
      </c>
      <c r="AJ9816" s="5" t="s">
        <v>3624</v>
      </c>
      <c r="AK9816" s="5" t="s">
        <v>3620</v>
      </c>
    </row>
    <row r="9817" spans="35:37">
      <c r="AI9817" s="468">
        <v>52189</v>
      </c>
      <c r="AJ9817" s="5" t="s">
        <v>3626</v>
      </c>
      <c r="AK9817" s="5" t="s">
        <v>3622</v>
      </c>
    </row>
    <row r="9818" spans="35:37">
      <c r="AI9818" s="468">
        <v>52190</v>
      </c>
      <c r="AJ9818" s="5" t="s">
        <v>3628</v>
      </c>
      <c r="AK9818" s="5" t="s">
        <v>3623</v>
      </c>
    </row>
    <row r="9819" spans="35:37">
      <c r="AI9819" s="468">
        <v>52191</v>
      </c>
      <c r="AJ9819" s="5" t="s">
        <v>3617</v>
      </c>
      <c r="AK9819" s="5" t="s">
        <v>3625</v>
      </c>
    </row>
    <row r="9820" spans="35:37">
      <c r="AI9820" s="468">
        <v>52192</v>
      </c>
      <c r="AJ9820" s="5" t="s">
        <v>3619</v>
      </c>
      <c r="AK9820" s="5" t="s">
        <v>3627</v>
      </c>
    </row>
    <row r="9821" spans="35:37">
      <c r="AI9821" s="468">
        <v>52193</v>
      </c>
      <c r="AJ9821" s="5" t="s">
        <v>3621</v>
      </c>
      <c r="AK9821" s="5" t="s">
        <v>3618</v>
      </c>
    </row>
    <row r="9822" spans="35:37">
      <c r="AI9822" s="468">
        <v>52194</v>
      </c>
      <c r="AJ9822" s="5" t="s">
        <v>3579</v>
      </c>
      <c r="AK9822" s="5" t="s">
        <v>3620</v>
      </c>
    </row>
    <row r="9823" spans="35:37">
      <c r="AI9823" s="468">
        <v>52195</v>
      </c>
      <c r="AJ9823" s="5" t="s">
        <v>3624</v>
      </c>
      <c r="AK9823" s="5" t="s">
        <v>3622</v>
      </c>
    </row>
    <row r="9824" spans="35:37">
      <c r="AI9824" s="468">
        <v>52196</v>
      </c>
      <c r="AJ9824" s="5" t="s">
        <v>3626</v>
      </c>
      <c r="AK9824" s="5" t="s">
        <v>3623</v>
      </c>
    </row>
    <row r="9825" spans="35:37">
      <c r="AI9825" s="468">
        <v>52197</v>
      </c>
      <c r="AJ9825" s="5" t="s">
        <v>3628</v>
      </c>
      <c r="AK9825" s="5" t="s">
        <v>3625</v>
      </c>
    </row>
    <row r="9826" spans="35:37">
      <c r="AI9826" s="468">
        <v>52198</v>
      </c>
      <c r="AJ9826" s="5" t="s">
        <v>3617</v>
      </c>
      <c r="AK9826" s="5" t="s">
        <v>3627</v>
      </c>
    </row>
    <row r="9827" spans="35:37">
      <c r="AI9827" s="468">
        <v>52199</v>
      </c>
      <c r="AJ9827" s="5" t="s">
        <v>3619</v>
      </c>
      <c r="AK9827" s="5" t="s">
        <v>3618</v>
      </c>
    </row>
    <row r="9828" spans="35:37">
      <c r="AI9828" s="468">
        <v>52200</v>
      </c>
      <c r="AJ9828" s="5" t="s">
        <v>3621</v>
      </c>
      <c r="AK9828" s="5" t="s">
        <v>3620</v>
      </c>
    </row>
    <row r="9829" spans="35:37">
      <c r="AI9829" s="468">
        <v>52201</v>
      </c>
      <c r="AJ9829" s="5" t="s">
        <v>3579</v>
      </c>
      <c r="AK9829" s="5" t="s">
        <v>3622</v>
      </c>
    </row>
    <row r="9830" spans="35:37">
      <c r="AI9830" s="468">
        <v>52202</v>
      </c>
      <c r="AJ9830" s="5" t="s">
        <v>3624</v>
      </c>
      <c r="AK9830" s="5" t="s">
        <v>3623</v>
      </c>
    </row>
    <row r="9831" spans="35:37">
      <c r="AI9831" s="468">
        <v>52203</v>
      </c>
      <c r="AJ9831" s="5" t="s">
        <v>3626</v>
      </c>
      <c r="AK9831" s="5" t="s">
        <v>3625</v>
      </c>
    </row>
    <row r="9832" spans="35:37">
      <c r="AI9832" s="468">
        <v>52204</v>
      </c>
      <c r="AJ9832" s="5" t="s">
        <v>3628</v>
      </c>
      <c r="AK9832" s="5" t="s">
        <v>3627</v>
      </c>
    </row>
    <row r="9833" spans="35:37">
      <c r="AI9833" s="468">
        <v>52205</v>
      </c>
      <c r="AJ9833" s="5" t="s">
        <v>3617</v>
      </c>
      <c r="AK9833" s="5" t="s">
        <v>3618</v>
      </c>
    </row>
    <row r="9834" spans="35:37">
      <c r="AI9834" s="468">
        <v>52206</v>
      </c>
      <c r="AJ9834" s="5" t="s">
        <v>3619</v>
      </c>
      <c r="AK9834" s="5" t="s">
        <v>3620</v>
      </c>
    </row>
    <row r="9835" spans="35:37">
      <c r="AI9835" s="468">
        <v>52207</v>
      </c>
      <c r="AJ9835" s="5" t="s">
        <v>3621</v>
      </c>
      <c r="AK9835" s="5" t="s">
        <v>3622</v>
      </c>
    </row>
    <row r="9836" spans="35:37">
      <c r="AI9836" s="468">
        <v>52208</v>
      </c>
      <c r="AJ9836" s="5" t="s">
        <v>3579</v>
      </c>
      <c r="AK9836" s="5" t="s">
        <v>3623</v>
      </c>
    </row>
    <row r="9837" spans="35:37">
      <c r="AI9837" s="468">
        <v>52209</v>
      </c>
      <c r="AJ9837" s="5" t="s">
        <v>3624</v>
      </c>
      <c r="AK9837" s="5" t="s">
        <v>3625</v>
      </c>
    </row>
    <row r="9838" spans="35:37">
      <c r="AI9838" s="468">
        <v>52210</v>
      </c>
      <c r="AJ9838" s="5" t="s">
        <v>3626</v>
      </c>
      <c r="AK9838" s="5" t="s">
        <v>3627</v>
      </c>
    </row>
    <row r="9839" spans="35:37">
      <c r="AI9839" s="468">
        <v>52211</v>
      </c>
      <c r="AJ9839" s="5" t="s">
        <v>3628</v>
      </c>
      <c r="AK9839" s="5" t="s">
        <v>3618</v>
      </c>
    </row>
    <row r="9840" spans="35:37">
      <c r="AI9840" s="468">
        <v>52212</v>
      </c>
      <c r="AJ9840" s="5" t="s">
        <v>3617</v>
      </c>
      <c r="AK9840" s="5" t="s">
        <v>3623</v>
      </c>
    </row>
    <row r="9841" spans="35:37">
      <c r="AI9841" s="468">
        <v>52213</v>
      </c>
      <c r="AJ9841" s="5" t="s">
        <v>3619</v>
      </c>
      <c r="AK9841" s="5" t="s">
        <v>3625</v>
      </c>
    </row>
    <row r="9842" spans="35:37">
      <c r="AI9842" s="468">
        <v>52214</v>
      </c>
      <c r="AJ9842" s="5" t="s">
        <v>3621</v>
      </c>
      <c r="AK9842" s="5" t="s">
        <v>3627</v>
      </c>
    </row>
    <row r="9843" spans="35:37">
      <c r="AI9843" s="468">
        <v>52215</v>
      </c>
      <c r="AJ9843" s="5" t="s">
        <v>3579</v>
      </c>
      <c r="AK9843" s="5" t="s">
        <v>3618</v>
      </c>
    </row>
    <row r="9844" spans="35:37">
      <c r="AI9844" s="468">
        <v>52216</v>
      </c>
      <c r="AJ9844" s="5" t="s">
        <v>3624</v>
      </c>
      <c r="AK9844" s="5" t="s">
        <v>3620</v>
      </c>
    </row>
    <row r="9845" spans="35:37">
      <c r="AI9845" s="468">
        <v>52217</v>
      </c>
      <c r="AJ9845" s="5" t="s">
        <v>3626</v>
      </c>
      <c r="AK9845" s="5" t="s">
        <v>3622</v>
      </c>
    </row>
    <row r="9846" spans="35:37">
      <c r="AI9846" s="468">
        <v>52218</v>
      </c>
      <c r="AJ9846" s="5" t="s">
        <v>3628</v>
      </c>
      <c r="AK9846" s="5" t="s">
        <v>3623</v>
      </c>
    </row>
    <row r="9847" spans="35:37">
      <c r="AI9847" s="468">
        <v>52219</v>
      </c>
      <c r="AJ9847" s="5" t="s">
        <v>3617</v>
      </c>
      <c r="AK9847" s="5" t="s">
        <v>3625</v>
      </c>
    </row>
    <row r="9848" spans="35:37">
      <c r="AI9848" s="468">
        <v>52220</v>
      </c>
      <c r="AJ9848" s="5" t="s">
        <v>3619</v>
      </c>
      <c r="AK9848" s="5" t="s">
        <v>3627</v>
      </c>
    </row>
    <row r="9849" spans="35:37">
      <c r="AI9849" s="468">
        <v>52221</v>
      </c>
      <c r="AJ9849" s="5" t="s">
        <v>3621</v>
      </c>
      <c r="AK9849" s="5" t="s">
        <v>3618</v>
      </c>
    </row>
    <row r="9850" spans="35:37">
      <c r="AI9850" s="468">
        <v>52222</v>
      </c>
      <c r="AJ9850" s="5" t="s">
        <v>3579</v>
      </c>
      <c r="AK9850" s="5" t="s">
        <v>3620</v>
      </c>
    </row>
    <row r="9851" spans="35:37">
      <c r="AI9851" s="468">
        <v>52223</v>
      </c>
      <c r="AJ9851" s="5" t="s">
        <v>3624</v>
      </c>
      <c r="AK9851" s="5" t="s">
        <v>3622</v>
      </c>
    </row>
    <row r="9852" spans="35:37">
      <c r="AI9852" s="468">
        <v>52224</v>
      </c>
      <c r="AJ9852" s="5" t="s">
        <v>3626</v>
      </c>
      <c r="AK9852" s="5" t="s">
        <v>3623</v>
      </c>
    </row>
    <row r="9853" spans="35:37">
      <c r="AI9853" s="468">
        <v>52225</v>
      </c>
      <c r="AJ9853" s="5" t="s">
        <v>3628</v>
      </c>
      <c r="AK9853" s="5" t="s">
        <v>3625</v>
      </c>
    </row>
    <row r="9854" spans="35:37">
      <c r="AI9854" s="468">
        <v>52226</v>
      </c>
      <c r="AJ9854" s="5" t="s">
        <v>3617</v>
      </c>
      <c r="AK9854" s="5" t="s">
        <v>3627</v>
      </c>
    </row>
    <row r="9855" spans="35:37">
      <c r="AI9855" s="468">
        <v>52227</v>
      </c>
      <c r="AJ9855" s="5" t="s">
        <v>3619</v>
      </c>
      <c r="AK9855" s="5" t="s">
        <v>3618</v>
      </c>
    </row>
    <row r="9856" spans="35:37">
      <c r="AI9856" s="468">
        <v>52228</v>
      </c>
      <c r="AJ9856" s="5" t="s">
        <v>3621</v>
      </c>
      <c r="AK9856" s="5" t="s">
        <v>3620</v>
      </c>
    </row>
    <row r="9857" spans="35:37">
      <c r="AI9857" s="468">
        <v>52229</v>
      </c>
      <c r="AJ9857" s="5" t="s">
        <v>3579</v>
      </c>
      <c r="AK9857" s="5" t="s">
        <v>3622</v>
      </c>
    </row>
    <row r="9858" spans="35:37">
      <c r="AI9858" s="468">
        <v>52230</v>
      </c>
      <c r="AJ9858" s="5" t="s">
        <v>3624</v>
      </c>
      <c r="AK9858" s="5" t="s">
        <v>3623</v>
      </c>
    </row>
    <row r="9859" spans="35:37">
      <c r="AI9859" s="468">
        <v>52231</v>
      </c>
      <c r="AJ9859" s="5" t="s">
        <v>3626</v>
      </c>
      <c r="AK9859" s="5" t="s">
        <v>3625</v>
      </c>
    </row>
    <row r="9860" spans="35:37">
      <c r="AI9860" s="468">
        <v>52232</v>
      </c>
      <c r="AJ9860" s="5" t="s">
        <v>3628</v>
      </c>
      <c r="AK9860" s="5" t="s">
        <v>3627</v>
      </c>
    </row>
    <row r="9861" spans="35:37">
      <c r="AI9861" s="468">
        <v>52233</v>
      </c>
      <c r="AJ9861" s="5" t="s">
        <v>3617</v>
      </c>
      <c r="AK9861" s="5" t="s">
        <v>3618</v>
      </c>
    </row>
    <row r="9862" spans="35:37">
      <c r="AI9862" s="468">
        <v>52234</v>
      </c>
      <c r="AJ9862" s="5" t="s">
        <v>3619</v>
      </c>
      <c r="AK9862" s="5" t="s">
        <v>3620</v>
      </c>
    </row>
    <row r="9863" spans="35:37">
      <c r="AI9863" s="468">
        <v>52235</v>
      </c>
      <c r="AJ9863" s="5" t="s">
        <v>3621</v>
      </c>
      <c r="AK9863" s="5" t="s">
        <v>3622</v>
      </c>
    </row>
    <row r="9864" spans="35:37">
      <c r="AI9864" s="468">
        <v>52236</v>
      </c>
      <c r="AJ9864" s="5" t="s">
        <v>3579</v>
      </c>
      <c r="AK9864" s="5" t="s">
        <v>3623</v>
      </c>
    </row>
    <row r="9865" spans="35:37">
      <c r="AI9865" s="468">
        <v>52237</v>
      </c>
      <c r="AJ9865" s="5" t="s">
        <v>3624</v>
      </c>
      <c r="AK9865" s="5" t="s">
        <v>3625</v>
      </c>
    </row>
    <row r="9866" spans="35:37">
      <c r="AI9866" s="468">
        <v>52238</v>
      </c>
      <c r="AJ9866" s="5" t="s">
        <v>3626</v>
      </c>
      <c r="AK9866" s="5" t="s">
        <v>3627</v>
      </c>
    </row>
    <row r="9867" spans="35:37">
      <c r="AI9867" s="468">
        <v>52239</v>
      </c>
      <c r="AJ9867" s="5" t="s">
        <v>3628</v>
      </c>
      <c r="AK9867" s="5" t="s">
        <v>3618</v>
      </c>
    </row>
    <row r="9868" spans="35:37">
      <c r="AI9868" s="468">
        <v>52240</v>
      </c>
      <c r="AJ9868" s="5" t="s">
        <v>3617</v>
      </c>
      <c r="AK9868" s="5" t="s">
        <v>3620</v>
      </c>
    </row>
    <row r="9869" spans="35:37">
      <c r="AI9869" s="468">
        <v>52241</v>
      </c>
      <c r="AJ9869" s="5" t="s">
        <v>3619</v>
      </c>
      <c r="AK9869" s="5" t="s">
        <v>3622</v>
      </c>
    </row>
    <row r="9870" spans="35:37">
      <c r="AI9870" s="468">
        <v>52242</v>
      </c>
      <c r="AJ9870" s="5" t="s">
        <v>3621</v>
      </c>
      <c r="AK9870" s="5" t="s">
        <v>3625</v>
      </c>
    </row>
    <row r="9871" spans="35:37">
      <c r="AI9871" s="468">
        <v>52243</v>
      </c>
      <c r="AJ9871" s="5" t="s">
        <v>3579</v>
      </c>
      <c r="AK9871" s="5" t="s">
        <v>3627</v>
      </c>
    </row>
    <row r="9872" spans="35:37">
      <c r="AI9872" s="468">
        <v>52244</v>
      </c>
      <c r="AJ9872" s="5" t="s">
        <v>3624</v>
      </c>
      <c r="AK9872" s="5" t="s">
        <v>3618</v>
      </c>
    </row>
    <row r="9873" spans="35:37">
      <c r="AI9873" s="468">
        <v>52245</v>
      </c>
      <c r="AJ9873" s="5" t="s">
        <v>3626</v>
      </c>
      <c r="AK9873" s="5" t="s">
        <v>3620</v>
      </c>
    </row>
    <row r="9874" spans="35:37">
      <c r="AI9874" s="468">
        <v>52246</v>
      </c>
      <c r="AJ9874" s="5" t="s">
        <v>3628</v>
      </c>
      <c r="AK9874" s="5" t="s">
        <v>3622</v>
      </c>
    </row>
    <row r="9875" spans="35:37">
      <c r="AI9875" s="468">
        <v>52247</v>
      </c>
      <c r="AJ9875" s="5" t="s">
        <v>3617</v>
      </c>
      <c r="AK9875" s="5" t="s">
        <v>3623</v>
      </c>
    </row>
    <row r="9876" spans="35:37">
      <c r="AI9876" s="468">
        <v>52248</v>
      </c>
      <c r="AJ9876" s="5" t="s">
        <v>3619</v>
      </c>
      <c r="AK9876" s="5" t="s">
        <v>3625</v>
      </c>
    </row>
    <row r="9877" spans="35:37">
      <c r="AI9877" s="468">
        <v>52249</v>
      </c>
      <c r="AJ9877" s="5" t="s">
        <v>3621</v>
      </c>
      <c r="AK9877" s="5" t="s">
        <v>3627</v>
      </c>
    </row>
    <row r="9878" spans="35:37">
      <c r="AI9878" s="468">
        <v>52250</v>
      </c>
      <c r="AJ9878" s="5" t="s">
        <v>3579</v>
      </c>
      <c r="AK9878" s="5" t="s">
        <v>3618</v>
      </c>
    </row>
    <row r="9879" spans="35:37">
      <c r="AI9879" s="468">
        <v>52251</v>
      </c>
      <c r="AJ9879" s="5" t="s">
        <v>3624</v>
      </c>
      <c r="AK9879" s="5" t="s">
        <v>3620</v>
      </c>
    </row>
    <row r="9880" spans="35:37">
      <c r="AI9880" s="468">
        <v>52252</v>
      </c>
      <c r="AJ9880" s="5" t="s">
        <v>3626</v>
      </c>
      <c r="AK9880" s="5" t="s">
        <v>3622</v>
      </c>
    </row>
    <row r="9881" spans="35:37">
      <c r="AI9881" s="468">
        <v>52253</v>
      </c>
      <c r="AJ9881" s="5" t="s">
        <v>3628</v>
      </c>
      <c r="AK9881" s="5" t="s">
        <v>3623</v>
      </c>
    </row>
    <row r="9882" spans="35:37">
      <c r="AI9882" s="468">
        <v>52254</v>
      </c>
      <c r="AJ9882" s="5" t="s">
        <v>3617</v>
      </c>
      <c r="AK9882" s="5" t="s">
        <v>3625</v>
      </c>
    </row>
    <row r="9883" spans="35:37">
      <c r="AI9883" s="468">
        <v>52255</v>
      </c>
      <c r="AJ9883" s="5" t="s">
        <v>3619</v>
      </c>
      <c r="AK9883" s="5" t="s">
        <v>3627</v>
      </c>
    </row>
    <row r="9884" spans="35:37">
      <c r="AI9884" s="468">
        <v>52256</v>
      </c>
      <c r="AJ9884" s="5" t="s">
        <v>3621</v>
      </c>
      <c r="AK9884" s="5" t="s">
        <v>3618</v>
      </c>
    </row>
    <row r="9885" spans="35:37">
      <c r="AI9885" s="468">
        <v>52257</v>
      </c>
      <c r="AJ9885" s="5" t="s">
        <v>3579</v>
      </c>
      <c r="AK9885" s="5" t="s">
        <v>3620</v>
      </c>
    </row>
    <row r="9886" spans="35:37">
      <c r="AI9886" s="468">
        <v>52258</v>
      </c>
      <c r="AJ9886" s="5" t="s">
        <v>3624</v>
      </c>
      <c r="AK9886" s="5" t="s">
        <v>3622</v>
      </c>
    </row>
    <row r="9887" spans="35:37">
      <c r="AI9887" s="468">
        <v>52259</v>
      </c>
      <c r="AJ9887" s="5" t="s">
        <v>3626</v>
      </c>
      <c r="AK9887" s="5" t="s">
        <v>3623</v>
      </c>
    </row>
    <row r="9888" spans="35:37">
      <c r="AI9888" s="468">
        <v>52260</v>
      </c>
      <c r="AJ9888" s="5" t="s">
        <v>3628</v>
      </c>
      <c r="AK9888" s="5" t="s">
        <v>3625</v>
      </c>
    </row>
    <row r="9889" spans="35:37">
      <c r="AI9889" s="468">
        <v>52261</v>
      </c>
      <c r="AJ9889" s="5" t="s">
        <v>3617</v>
      </c>
      <c r="AK9889" s="5" t="s">
        <v>3627</v>
      </c>
    </row>
    <row r="9890" spans="35:37">
      <c r="AI9890" s="468">
        <v>52262</v>
      </c>
      <c r="AJ9890" s="5" t="s">
        <v>3619</v>
      </c>
      <c r="AK9890" s="5" t="s">
        <v>3618</v>
      </c>
    </row>
    <row r="9891" spans="35:37">
      <c r="AI9891" s="468">
        <v>52263</v>
      </c>
      <c r="AJ9891" s="5" t="s">
        <v>3621</v>
      </c>
      <c r="AK9891" s="5" t="s">
        <v>3620</v>
      </c>
    </row>
    <row r="9892" spans="35:37">
      <c r="AI9892" s="468">
        <v>52264</v>
      </c>
      <c r="AJ9892" s="5" t="s">
        <v>3579</v>
      </c>
      <c r="AK9892" s="5" t="s">
        <v>3622</v>
      </c>
    </row>
    <row r="9893" spans="35:37">
      <c r="AI9893" s="468">
        <v>52265</v>
      </c>
      <c r="AJ9893" s="5" t="s">
        <v>3624</v>
      </c>
      <c r="AK9893" s="5" t="s">
        <v>3623</v>
      </c>
    </row>
    <row r="9894" spans="35:37">
      <c r="AI9894" s="468">
        <v>52266</v>
      </c>
      <c r="AJ9894" s="5" t="s">
        <v>3626</v>
      </c>
      <c r="AK9894" s="5" t="s">
        <v>3625</v>
      </c>
    </row>
    <row r="9895" spans="35:37">
      <c r="AI9895" s="468">
        <v>52267</v>
      </c>
      <c r="AJ9895" s="5" t="s">
        <v>3628</v>
      </c>
      <c r="AK9895" s="5" t="s">
        <v>3627</v>
      </c>
    </row>
    <row r="9896" spans="35:37">
      <c r="AI9896" s="468">
        <v>52268</v>
      </c>
      <c r="AJ9896" s="5" t="s">
        <v>3617</v>
      </c>
      <c r="AK9896" s="5" t="s">
        <v>3618</v>
      </c>
    </row>
    <row r="9897" spans="35:37">
      <c r="AI9897" s="468">
        <v>52269</v>
      </c>
      <c r="AJ9897" s="5" t="s">
        <v>3619</v>
      </c>
      <c r="AK9897" s="5" t="s">
        <v>3620</v>
      </c>
    </row>
    <row r="9898" spans="35:37">
      <c r="AI9898" s="468">
        <v>52270</v>
      </c>
      <c r="AJ9898" s="5" t="s">
        <v>3621</v>
      </c>
      <c r="AK9898" s="5" t="s">
        <v>3622</v>
      </c>
    </row>
    <row r="9899" spans="35:37">
      <c r="AI9899" s="468">
        <v>52271</v>
      </c>
      <c r="AJ9899" s="5" t="s">
        <v>3579</v>
      </c>
      <c r="AK9899" s="5" t="s">
        <v>3623</v>
      </c>
    </row>
    <row r="9900" spans="35:37">
      <c r="AI9900" s="468">
        <v>52272</v>
      </c>
      <c r="AJ9900" s="5" t="s">
        <v>3624</v>
      </c>
      <c r="AK9900" s="5" t="s">
        <v>3627</v>
      </c>
    </row>
    <row r="9901" spans="35:37">
      <c r="AI9901" s="468">
        <v>52273</v>
      </c>
      <c r="AJ9901" s="5" t="s">
        <v>3626</v>
      </c>
      <c r="AK9901" s="5" t="s">
        <v>3618</v>
      </c>
    </row>
    <row r="9902" spans="35:37">
      <c r="AI9902" s="468">
        <v>52274</v>
      </c>
      <c r="AJ9902" s="5" t="s">
        <v>3628</v>
      </c>
      <c r="AK9902" s="5" t="s">
        <v>3620</v>
      </c>
    </row>
    <row r="9903" spans="35:37">
      <c r="AI9903" s="468">
        <v>52275</v>
      </c>
      <c r="AJ9903" s="5" t="s">
        <v>3617</v>
      </c>
      <c r="AK9903" s="5" t="s">
        <v>3622</v>
      </c>
    </row>
    <row r="9904" spans="35:37">
      <c r="AI9904" s="468">
        <v>52276</v>
      </c>
      <c r="AJ9904" s="5" t="s">
        <v>3619</v>
      </c>
      <c r="AK9904" s="5" t="s">
        <v>3623</v>
      </c>
    </row>
    <row r="9905" spans="35:37">
      <c r="AI9905" s="468">
        <v>52277</v>
      </c>
      <c r="AJ9905" s="5" t="s">
        <v>3621</v>
      </c>
      <c r="AK9905" s="5" t="s">
        <v>3625</v>
      </c>
    </row>
    <row r="9906" spans="35:37">
      <c r="AI9906" s="468">
        <v>52278</v>
      </c>
      <c r="AJ9906" s="5" t="s">
        <v>3579</v>
      </c>
      <c r="AK9906" s="5" t="s">
        <v>3627</v>
      </c>
    </row>
    <row r="9907" spans="35:37">
      <c r="AI9907" s="468">
        <v>52279</v>
      </c>
      <c r="AJ9907" s="5" t="s">
        <v>3624</v>
      </c>
      <c r="AK9907" s="5" t="s">
        <v>3618</v>
      </c>
    </row>
    <row r="9908" spans="35:37">
      <c r="AI9908" s="468">
        <v>52280</v>
      </c>
      <c r="AJ9908" s="5" t="s">
        <v>3626</v>
      </c>
      <c r="AK9908" s="5" t="s">
        <v>3620</v>
      </c>
    </row>
    <row r="9909" spans="35:37">
      <c r="AI9909" s="468">
        <v>52281</v>
      </c>
      <c r="AJ9909" s="5" t="s">
        <v>3628</v>
      </c>
      <c r="AK9909" s="5" t="s">
        <v>3622</v>
      </c>
    </row>
    <row r="9910" spans="35:37">
      <c r="AI9910" s="468">
        <v>52282</v>
      </c>
      <c r="AJ9910" s="5" t="s">
        <v>3617</v>
      </c>
      <c r="AK9910" s="5" t="s">
        <v>3623</v>
      </c>
    </row>
    <row r="9911" spans="35:37">
      <c r="AI9911" s="468">
        <v>52283</v>
      </c>
      <c r="AJ9911" s="5" t="s">
        <v>3619</v>
      </c>
      <c r="AK9911" s="5" t="s">
        <v>3625</v>
      </c>
    </row>
    <row r="9912" spans="35:37">
      <c r="AI9912" s="468">
        <v>52284</v>
      </c>
      <c r="AJ9912" s="5" t="s">
        <v>3621</v>
      </c>
      <c r="AK9912" s="5" t="s">
        <v>3627</v>
      </c>
    </row>
    <row r="9913" spans="35:37">
      <c r="AI9913" s="468">
        <v>52285</v>
      </c>
      <c r="AJ9913" s="5" t="s">
        <v>3579</v>
      </c>
      <c r="AK9913" s="5" t="s">
        <v>3618</v>
      </c>
    </row>
    <row r="9914" spans="35:37">
      <c r="AI9914" s="468">
        <v>52286</v>
      </c>
      <c r="AJ9914" s="5" t="s">
        <v>3624</v>
      </c>
      <c r="AK9914" s="5" t="s">
        <v>3620</v>
      </c>
    </row>
    <row r="9915" spans="35:37">
      <c r="AI9915" s="468">
        <v>52287</v>
      </c>
      <c r="AJ9915" s="5" t="s">
        <v>3626</v>
      </c>
      <c r="AK9915" s="5" t="s">
        <v>3622</v>
      </c>
    </row>
    <row r="9916" spans="35:37">
      <c r="AI9916" s="468">
        <v>52288</v>
      </c>
      <c r="AJ9916" s="5" t="s">
        <v>3628</v>
      </c>
      <c r="AK9916" s="5" t="s">
        <v>3623</v>
      </c>
    </row>
    <row r="9917" spans="35:37">
      <c r="AI9917" s="468">
        <v>52289</v>
      </c>
      <c r="AJ9917" s="5" t="s">
        <v>3617</v>
      </c>
      <c r="AK9917" s="5" t="s">
        <v>3625</v>
      </c>
    </row>
    <row r="9918" spans="35:37">
      <c r="AI9918" s="468">
        <v>52290</v>
      </c>
      <c r="AJ9918" s="5" t="s">
        <v>3619</v>
      </c>
      <c r="AK9918" s="5" t="s">
        <v>3627</v>
      </c>
    </row>
    <row r="9919" spans="35:37">
      <c r="AI9919" s="468">
        <v>52291</v>
      </c>
      <c r="AJ9919" s="5" t="s">
        <v>3621</v>
      </c>
      <c r="AK9919" s="5" t="s">
        <v>3618</v>
      </c>
    </row>
    <row r="9920" spans="35:37">
      <c r="AI9920" s="468">
        <v>52292</v>
      </c>
      <c r="AJ9920" s="5" t="s">
        <v>3579</v>
      </c>
      <c r="AK9920" s="5" t="s">
        <v>3620</v>
      </c>
    </row>
    <row r="9921" spans="35:37">
      <c r="AI9921" s="468">
        <v>52293</v>
      </c>
      <c r="AJ9921" s="5" t="s">
        <v>3624</v>
      </c>
      <c r="AK9921" s="5" t="s">
        <v>3622</v>
      </c>
    </row>
    <row r="9922" spans="35:37">
      <c r="AI9922" s="468">
        <v>52294</v>
      </c>
      <c r="AJ9922" s="5" t="s">
        <v>3626</v>
      </c>
      <c r="AK9922" s="5" t="s">
        <v>3623</v>
      </c>
    </row>
    <row r="9923" spans="35:37">
      <c r="AI9923" s="468">
        <v>52295</v>
      </c>
      <c r="AJ9923" s="5" t="s">
        <v>3628</v>
      </c>
      <c r="AK9923" s="5" t="s">
        <v>3625</v>
      </c>
    </row>
    <row r="9924" spans="35:37">
      <c r="AI9924" s="468">
        <v>52296</v>
      </c>
      <c r="AJ9924" s="5" t="s">
        <v>3617</v>
      </c>
      <c r="AK9924" s="5" t="s">
        <v>3627</v>
      </c>
    </row>
    <row r="9925" spans="35:37">
      <c r="AI9925" s="468">
        <v>52297</v>
      </c>
      <c r="AJ9925" s="5" t="s">
        <v>3619</v>
      </c>
      <c r="AK9925" s="5" t="s">
        <v>3618</v>
      </c>
    </row>
    <row r="9926" spans="35:37">
      <c r="AI9926" s="468">
        <v>52298</v>
      </c>
      <c r="AJ9926" s="5" t="s">
        <v>3621</v>
      </c>
      <c r="AK9926" s="5" t="s">
        <v>3620</v>
      </c>
    </row>
    <row r="9927" spans="35:37">
      <c r="AI9927" s="468">
        <v>52299</v>
      </c>
      <c r="AJ9927" s="5" t="s">
        <v>3579</v>
      </c>
      <c r="AK9927" s="5" t="s">
        <v>3622</v>
      </c>
    </row>
    <row r="9928" spans="35:37">
      <c r="AI9928" s="468">
        <v>52300</v>
      </c>
      <c r="AJ9928" s="5" t="s">
        <v>3624</v>
      </c>
      <c r="AK9928" s="5" t="s">
        <v>3623</v>
      </c>
    </row>
    <row r="9929" spans="35:37">
      <c r="AI9929" s="468">
        <v>52301</v>
      </c>
      <c r="AJ9929" s="5" t="s">
        <v>3626</v>
      </c>
      <c r="AK9929" s="5" t="s">
        <v>3618</v>
      </c>
    </row>
    <row r="9930" spans="35:37">
      <c r="AI9930" s="468">
        <v>52302</v>
      </c>
      <c r="AJ9930" s="5" t="s">
        <v>3628</v>
      </c>
      <c r="AK9930" s="5" t="s">
        <v>3620</v>
      </c>
    </row>
    <row r="9931" spans="35:37">
      <c r="AI9931" s="468">
        <v>52303</v>
      </c>
      <c r="AJ9931" s="5" t="s">
        <v>3617</v>
      </c>
      <c r="AK9931" s="5" t="s">
        <v>3622</v>
      </c>
    </row>
    <row r="9932" spans="35:37">
      <c r="AI9932" s="468">
        <v>52304</v>
      </c>
      <c r="AJ9932" s="5" t="s">
        <v>3619</v>
      </c>
      <c r="AK9932" s="5" t="s">
        <v>3623</v>
      </c>
    </row>
    <row r="9933" spans="35:37">
      <c r="AI9933" s="468">
        <v>52305</v>
      </c>
      <c r="AJ9933" s="5" t="s">
        <v>3621</v>
      </c>
      <c r="AK9933" s="5" t="s">
        <v>3625</v>
      </c>
    </row>
    <row r="9934" spans="35:37">
      <c r="AI9934" s="468">
        <v>52306</v>
      </c>
      <c r="AJ9934" s="5" t="s">
        <v>3579</v>
      </c>
      <c r="AK9934" s="5" t="s">
        <v>3627</v>
      </c>
    </row>
    <row r="9935" spans="35:37">
      <c r="AI9935" s="468">
        <v>52307</v>
      </c>
      <c r="AJ9935" s="5" t="s">
        <v>3624</v>
      </c>
      <c r="AK9935" s="5" t="s">
        <v>3618</v>
      </c>
    </row>
    <row r="9936" spans="35:37">
      <c r="AI9936" s="468">
        <v>52308</v>
      </c>
      <c r="AJ9936" s="5" t="s">
        <v>3626</v>
      </c>
      <c r="AK9936" s="5" t="s">
        <v>3620</v>
      </c>
    </row>
    <row r="9937" spans="35:37">
      <c r="AI9937" s="468">
        <v>52309</v>
      </c>
      <c r="AJ9937" s="5" t="s">
        <v>3628</v>
      </c>
      <c r="AK9937" s="5" t="s">
        <v>3622</v>
      </c>
    </row>
    <row r="9938" spans="35:37">
      <c r="AI9938" s="468">
        <v>52310</v>
      </c>
      <c r="AJ9938" s="5" t="s">
        <v>3617</v>
      </c>
      <c r="AK9938" s="5" t="s">
        <v>3623</v>
      </c>
    </row>
    <row r="9939" spans="35:37">
      <c r="AI9939" s="468">
        <v>52311</v>
      </c>
      <c r="AJ9939" s="5" t="s">
        <v>3619</v>
      </c>
      <c r="AK9939" s="5" t="s">
        <v>3625</v>
      </c>
    </row>
    <row r="9940" spans="35:37">
      <c r="AI9940" s="468">
        <v>52312</v>
      </c>
      <c r="AJ9940" s="5" t="s">
        <v>3621</v>
      </c>
      <c r="AK9940" s="5" t="s">
        <v>3627</v>
      </c>
    </row>
    <row r="9941" spans="35:37">
      <c r="AI9941" s="468">
        <v>52313</v>
      </c>
      <c r="AJ9941" s="5" t="s">
        <v>3579</v>
      </c>
      <c r="AK9941" s="5" t="s">
        <v>3618</v>
      </c>
    </row>
    <row r="9942" spans="35:37">
      <c r="AI9942" s="468">
        <v>52314</v>
      </c>
      <c r="AJ9942" s="5" t="s">
        <v>3624</v>
      </c>
      <c r="AK9942" s="5" t="s">
        <v>3620</v>
      </c>
    </row>
    <row r="9943" spans="35:37">
      <c r="AI9943" s="468">
        <v>52315</v>
      </c>
      <c r="AJ9943" s="5" t="s">
        <v>3626</v>
      </c>
      <c r="AK9943" s="5" t="s">
        <v>3622</v>
      </c>
    </row>
    <row r="9944" spans="35:37">
      <c r="AI9944" s="468">
        <v>52316</v>
      </c>
      <c r="AJ9944" s="5" t="s">
        <v>3628</v>
      </c>
      <c r="AK9944" s="5" t="s">
        <v>3623</v>
      </c>
    </row>
    <row r="9945" spans="35:37">
      <c r="AI9945" s="468">
        <v>52317</v>
      </c>
      <c r="AJ9945" s="5" t="s">
        <v>3617</v>
      </c>
      <c r="AK9945" s="5" t="s">
        <v>3625</v>
      </c>
    </row>
    <row r="9946" spans="35:37">
      <c r="AI9946" s="468">
        <v>52318</v>
      </c>
      <c r="AJ9946" s="5" t="s">
        <v>3619</v>
      </c>
      <c r="AK9946" s="5" t="s">
        <v>3627</v>
      </c>
    </row>
    <row r="9947" spans="35:37">
      <c r="AI9947" s="468">
        <v>52319</v>
      </c>
      <c r="AJ9947" s="5" t="s">
        <v>3621</v>
      </c>
      <c r="AK9947" s="5" t="s">
        <v>3618</v>
      </c>
    </row>
    <row r="9948" spans="35:37">
      <c r="AI9948" s="468">
        <v>52320</v>
      </c>
      <c r="AJ9948" s="5" t="s">
        <v>3579</v>
      </c>
      <c r="AK9948" s="5" t="s">
        <v>3620</v>
      </c>
    </row>
    <row r="9949" spans="35:37">
      <c r="AI9949" s="468">
        <v>52321</v>
      </c>
      <c r="AJ9949" s="5" t="s">
        <v>3624</v>
      </c>
      <c r="AK9949" s="5" t="s">
        <v>3622</v>
      </c>
    </row>
    <row r="9950" spans="35:37">
      <c r="AI9950" s="468">
        <v>52322</v>
      </c>
      <c r="AJ9950" s="5" t="s">
        <v>3626</v>
      </c>
      <c r="AK9950" s="5" t="s">
        <v>3623</v>
      </c>
    </row>
    <row r="9951" spans="35:37">
      <c r="AI9951" s="468">
        <v>52323</v>
      </c>
      <c r="AJ9951" s="5" t="s">
        <v>3628</v>
      </c>
      <c r="AK9951" s="5" t="s">
        <v>3625</v>
      </c>
    </row>
    <row r="9952" spans="35:37">
      <c r="AI9952" s="468">
        <v>52324</v>
      </c>
      <c r="AJ9952" s="5" t="s">
        <v>3617</v>
      </c>
      <c r="AK9952" s="5" t="s">
        <v>3627</v>
      </c>
    </row>
    <row r="9953" spans="35:37">
      <c r="AI9953" s="468">
        <v>52325</v>
      </c>
      <c r="AJ9953" s="5" t="s">
        <v>3619</v>
      </c>
      <c r="AK9953" s="5" t="s">
        <v>3618</v>
      </c>
    </row>
    <row r="9954" spans="35:37">
      <c r="AI9954" s="468">
        <v>52326</v>
      </c>
      <c r="AJ9954" s="5" t="s">
        <v>3621</v>
      </c>
      <c r="AK9954" s="5" t="s">
        <v>3620</v>
      </c>
    </row>
    <row r="9955" spans="35:37">
      <c r="AI9955" s="468">
        <v>52327</v>
      </c>
      <c r="AJ9955" s="5" t="s">
        <v>3579</v>
      </c>
      <c r="AK9955" s="5" t="s">
        <v>3622</v>
      </c>
    </row>
    <row r="9956" spans="35:37">
      <c r="AI9956" s="468">
        <v>52328</v>
      </c>
      <c r="AJ9956" s="5" t="s">
        <v>3624</v>
      </c>
      <c r="AK9956" s="5" t="s">
        <v>3623</v>
      </c>
    </row>
    <row r="9957" spans="35:37">
      <c r="AI9957" s="468">
        <v>52329</v>
      </c>
      <c r="AJ9957" s="5" t="s">
        <v>3626</v>
      </c>
      <c r="AK9957" s="5" t="s">
        <v>3625</v>
      </c>
    </row>
    <row r="9958" spans="35:37">
      <c r="AI9958" s="468">
        <v>52330</v>
      </c>
      <c r="AJ9958" s="5" t="s">
        <v>3628</v>
      </c>
      <c r="AK9958" s="5" t="s">
        <v>3627</v>
      </c>
    </row>
    <row r="9959" spans="35:37">
      <c r="AI9959" s="468">
        <v>52331</v>
      </c>
      <c r="AJ9959" s="5" t="s">
        <v>3617</v>
      </c>
      <c r="AK9959" s="5" t="s">
        <v>3620</v>
      </c>
    </row>
    <row r="9960" spans="35:37">
      <c r="AI9960" s="468">
        <v>52332</v>
      </c>
      <c r="AJ9960" s="5" t="s">
        <v>3619</v>
      </c>
      <c r="AK9960" s="5" t="s">
        <v>3622</v>
      </c>
    </row>
    <row r="9961" spans="35:37">
      <c r="AI9961" s="468">
        <v>52333</v>
      </c>
      <c r="AJ9961" s="5" t="s">
        <v>3621</v>
      </c>
      <c r="AK9961" s="5" t="s">
        <v>3623</v>
      </c>
    </row>
    <row r="9962" spans="35:37">
      <c r="AI9962" s="468">
        <v>52334</v>
      </c>
      <c r="AJ9962" s="5" t="s">
        <v>3579</v>
      </c>
      <c r="AK9962" s="5" t="s">
        <v>3625</v>
      </c>
    </row>
    <row r="9963" spans="35:37">
      <c r="AI9963" s="468">
        <v>52335</v>
      </c>
      <c r="AJ9963" s="5" t="s">
        <v>3624</v>
      </c>
      <c r="AK9963" s="5" t="s">
        <v>3627</v>
      </c>
    </row>
    <row r="9964" spans="35:37">
      <c r="AI9964" s="468">
        <v>52336</v>
      </c>
      <c r="AJ9964" s="5" t="s">
        <v>3626</v>
      </c>
      <c r="AK9964" s="5" t="s">
        <v>3618</v>
      </c>
    </row>
    <row r="9965" spans="35:37">
      <c r="AI9965" s="468">
        <v>52337</v>
      </c>
      <c r="AJ9965" s="5" t="s">
        <v>3628</v>
      </c>
      <c r="AK9965" s="5" t="s">
        <v>3620</v>
      </c>
    </row>
    <row r="9966" spans="35:37">
      <c r="AI9966" s="468">
        <v>52338</v>
      </c>
      <c r="AJ9966" s="5" t="s">
        <v>3617</v>
      </c>
      <c r="AK9966" s="5" t="s">
        <v>3622</v>
      </c>
    </row>
    <row r="9967" spans="35:37">
      <c r="AI9967" s="468">
        <v>52339</v>
      </c>
      <c r="AJ9967" s="5" t="s">
        <v>3619</v>
      </c>
      <c r="AK9967" s="5" t="s">
        <v>3623</v>
      </c>
    </row>
    <row r="9968" spans="35:37">
      <c r="AI9968" s="468">
        <v>52340</v>
      </c>
      <c r="AJ9968" s="5" t="s">
        <v>3621</v>
      </c>
      <c r="AK9968" s="5" t="s">
        <v>3625</v>
      </c>
    </row>
    <row r="9969" spans="35:37">
      <c r="AI9969" s="468">
        <v>52341</v>
      </c>
      <c r="AJ9969" s="5" t="s">
        <v>3579</v>
      </c>
      <c r="AK9969" s="5" t="s">
        <v>3627</v>
      </c>
    </row>
    <row r="9970" spans="35:37">
      <c r="AI9970" s="468">
        <v>52342</v>
      </c>
      <c r="AJ9970" s="5" t="s">
        <v>3624</v>
      </c>
      <c r="AK9970" s="5" t="s">
        <v>3618</v>
      </c>
    </row>
    <row r="9971" spans="35:37">
      <c r="AI9971" s="468">
        <v>52343</v>
      </c>
      <c r="AJ9971" s="5" t="s">
        <v>3626</v>
      </c>
      <c r="AK9971" s="5" t="s">
        <v>3620</v>
      </c>
    </row>
    <row r="9972" spans="35:37">
      <c r="AI9972" s="468">
        <v>52344</v>
      </c>
      <c r="AJ9972" s="5" t="s">
        <v>3628</v>
      </c>
      <c r="AK9972" s="5" t="s">
        <v>3622</v>
      </c>
    </row>
    <row r="9973" spans="35:37">
      <c r="AI9973" s="468">
        <v>52345</v>
      </c>
      <c r="AJ9973" s="5" t="s">
        <v>3617</v>
      </c>
      <c r="AK9973" s="5" t="s">
        <v>3623</v>
      </c>
    </row>
    <row r="9974" spans="35:37">
      <c r="AI9974" s="468">
        <v>52346</v>
      </c>
      <c r="AJ9974" s="5" t="s">
        <v>3619</v>
      </c>
      <c r="AK9974" s="5" t="s">
        <v>3625</v>
      </c>
    </row>
    <row r="9975" spans="35:37">
      <c r="AI9975" s="468">
        <v>52347</v>
      </c>
      <c r="AJ9975" s="5" t="s">
        <v>3621</v>
      </c>
      <c r="AK9975" s="5" t="s">
        <v>3627</v>
      </c>
    </row>
    <row r="9976" spans="35:37">
      <c r="AI9976" s="468">
        <v>52348</v>
      </c>
      <c r="AJ9976" s="5" t="s">
        <v>3579</v>
      </c>
      <c r="AK9976" s="5" t="s">
        <v>3618</v>
      </c>
    </row>
    <row r="9977" spans="35:37">
      <c r="AI9977" s="468">
        <v>52349</v>
      </c>
      <c r="AJ9977" s="5" t="s">
        <v>3624</v>
      </c>
      <c r="AK9977" s="5" t="s">
        <v>3620</v>
      </c>
    </row>
    <row r="9978" spans="35:37">
      <c r="AI9978" s="468">
        <v>52350</v>
      </c>
      <c r="AJ9978" s="5" t="s">
        <v>3626</v>
      </c>
      <c r="AK9978" s="5" t="s">
        <v>3622</v>
      </c>
    </row>
    <row r="9979" spans="35:37">
      <c r="AI9979" s="468">
        <v>52351</v>
      </c>
      <c r="AJ9979" s="5" t="s">
        <v>3628</v>
      </c>
      <c r="AK9979" s="5" t="s">
        <v>3623</v>
      </c>
    </row>
    <row r="9980" spans="35:37">
      <c r="AI9980" s="468">
        <v>52352</v>
      </c>
      <c r="AJ9980" s="5" t="s">
        <v>3617</v>
      </c>
      <c r="AK9980" s="5" t="s">
        <v>3625</v>
      </c>
    </row>
    <row r="9981" spans="35:37">
      <c r="AI9981" s="468">
        <v>52353</v>
      </c>
      <c r="AJ9981" s="5" t="s">
        <v>3619</v>
      </c>
      <c r="AK9981" s="5" t="s">
        <v>3627</v>
      </c>
    </row>
    <row r="9982" spans="35:37">
      <c r="AI9982" s="468">
        <v>52354</v>
      </c>
      <c r="AJ9982" s="5" t="s">
        <v>3621</v>
      </c>
      <c r="AK9982" s="5" t="s">
        <v>3618</v>
      </c>
    </row>
    <row r="9983" spans="35:37">
      <c r="AI9983" s="468">
        <v>52355</v>
      </c>
      <c r="AJ9983" s="5" t="s">
        <v>3579</v>
      </c>
      <c r="AK9983" s="5" t="s">
        <v>3620</v>
      </c>
    </row>
    <row r="9984" spans="35:37">
      <c r="AI9984" s="468">
        <v>52356</v>
      </c>
      <c r="AJ9984" s="5" t="s">
        <v>3624</v>
      </c>
      <c r="AK9984" s="5" t="s">
        <v>3622</v>
      </c>
    </row>
    <row r="9985" spans="35:37">
      <c r="AI9985" s="468">
        <v>52357</v>
      </c>
      <c r="AJ9985" s="5" t="s">
        <v>3626</v>
      </c>
      <c r="AK9985" s="5" t="s">
        <v>3623</v>
      </c>
    </row>
    <row r="9986" spans="35:37">
      <c r="AI9986" s="468">
        <v>52358</v>
      </c>
      <c r="AJ9986" s="5" t="s">
        <v>3628</v>
      </c>
      <c r="AK9986" s="5" t="s">
        <v>3625</v>
      </c>
    </row>
    <row r="9987" spans="35:37">
      <c r="AI9987" s="468">
        <v>52359</v>
      </c>
      <c r="AJ9987" s="5" t="s">
        <v>3617</v>
      </c>
      <c r="AK9987" s="5" t="s">
        <v>3627</v>
      </c>
    </row>
    <row r="9988" spans="35:37">
      <c r="AI9988" s="468">
        <v>52360</v>
      </c>
      <c r="AJ9988" s="5" t="s">
        <v>3619</v>
      </c>
      <c r="AK9988" s="5" t="s">
        <v>3622</v>
      </c>
    </row>
    <row r="9989" spans="35:37">
      <c r="AI9989" s="468">
        <v>52361</v>
      </c>
      <c r="AJ9989" s="5" t="s">
        <v>3621</v>
      </c>
      <c r="AK9989" s="5" t="s">
        <v>3623</v>
      </c>
    </row>
    <row r="9990" spans="35:37">
      <c r="AI9990" s="468">
        <v>52362</v>
      </c>
      <c r="AJ9990" s="5" t="s">
        <v>3579</v>
      </c>
      <c r="AK9990" s="5" t="s">
        <v>3625</v>
      </c>
    </row>
    <row r="9991" spans="35:37">
      <c r="AI9991" s="468">
        <v>52363</v>
      </c>
      <c r="AJ9991" s="5" t="s">
        <v>3624</v>
      </c>
      <c r="AK9991" s="5" t="s">
        <v>3627</v>
      </c>
    </row>
    <row r="9992" spans="35:37">
      <c r="AI9992" s="468">
        <v>52364</v>
      </c>
      <c r="AJ9992" s="5" t="s">
        <v>3626</v>
      </c>
      <c r="AK9992" s="5" t="s">
        <v>3618</v>
      </c>
    </row>
    <row r="9993" spans="35:37">
      <c r="AI9993" s="468">
        <v>52365</v>
      </c>
      <c r="AJ9993" s="5" t="s">
        <v>3628</v>
      </c>
      <c r="AK9993" s="5" t="s">
        <v>3620</v>
      </c>
    </row>
    <row r="9994" spans="35:37">
      <c r="AI9994" s="468">
        <v>52366</v>
      </c>
      <c r="AJ9994" s="5" t="s">
        <v>3617</v>
      </c>
      <c r="AK9994" s="5" t="s">
        <v>3622</v>
      </c>
    </row>
    <row r="9995" spans="35:37">
      <c r="AI9995" s="468">
        <v>52367</v>
      </c>
      <c r="AJ9995" s="5" t="s">
        <v>3619</v>
      </c>
      <c r="AK9995" s="5" t="s">
        <v>3623</v>
      </c>
    </row>
    <row r="9996" spans="35:37">
      <c r="AI9996" s="468">
        <v>52368</v>
      </c>
      <c r="AJ9996" s="5" t="s">
        <v>3621</v>
      </c>
      <c r="AK9996" s="5" t="s">
        <v>3625</v>
      </c>
    </row>
    <row r="9997" spans="35:37">
      <c r="AI9997" s="468">
        <v>52369</v>
      </c>
      <c r="AJ9997" s="5" t="s">
        <v>3579</v>
      </c>
      <c r="AK9997" s="5" t="s">
        <v>3627</v>
      </c>
    </row>
    <row r="9998" spans="35:37">
      <c r="AI9998" s="468">
        <v>52370</v>
      </c>
      <c r="AJ9998" s="5" t="s">
        <v>3624</v>
      </c>
      <c r="AK9998" s="5" t="s">
        <v>3618</v>
      </c>
    </row>
    <row r="9999" spans="35:37">
      <c r="AI9999" s="468">
        <v>52371</v>
      </c>
      <c r="AJ9999" s="5" t="s">
        <v>3626</v>
      </c>
      <c r="AK9999" s="5" t="s">
        <v>3620</v>
      </c>
    </row>
    <row r="10000" spans="35:37">
      <c r="AI10000" s="468">
        <v>52372</v>
      </c>
      <c r="AJ10000" s="5" t="s">
        <v>3628</v>
      </c>
      <c r="AK10000" s="5" t="s">
        <v>3622</v>
      </c>
    </row>
    <row r="10001" spans="35:37">
      <c r="AI10001" s="468">
        <v>52373</v>
      </c>
      <c r="AJ10001" s="5" t="s">
        <v>3617</v>
      </c>
      <c r="AK10001" s="5" t="s">
        <v>3623</v>
      </c>
    </row>
    <row r="10002" spans="35:37">
      <c r="AI10002" s="468">
        <v>52374</v>
      </c>
      <c r="AJ10002" s="5" t="s">
        <v>3619</v>
      </c>
      <c r="AK10002" s="5" t="s">
        <v>3625</v>
      </c>
    </row>
    <row r="10003" spans="35:37">
      <c r="AI10003" s="468">
        <v>52375</v>
      </c>
      <c r="AJ10003" s="5" t="s">
        <v>3621</v>
      </c>
      <c r="AK10003" s="5" t="s">
        <v>3627</v>
      </c>
    </row>
    <row r="10004" spans="35:37">
      <c r="AI10004" s="468">
        <v>52376</v>
      </c>
      <c r="AJ10004" s="5" t="s">
        <v>3579</v>
      </c>
      <c r="AK10004" s="5" t="s">
        <v>3618</v>
      </c>
    </row>
    <row r="10005" spans="35:37">
      <c r="AI10005" s="468">
        <v>52377</v>
      </c>
      <c r="AJ10005" s="5" t="s">
        <v>3624</v>
      </c>
      <c r="AK10005" s="5" t="s">
        <v>3620</v>
      </c>
    </row>
    <row r="10006" spans="35:37">
      <c r="AI10006" s="468">
        <v>52378</v>
      </c>
      <c r="AJ10006" s="5" t="s">
        <v>3626</v>
      </c>
      <c r="AK10006" s="5" t="s">
        <v>3622</v>
      </c>
    </row>
    <row r="10007" spans="35:37">
      <c r="AI10007" s="468">
        <v>52379</v>
      </c>
      <c r="AJ10007" s="5" t="s">
        <v>3628</v>
      </c>
      <c r="AK10007" s="5" t="s">
        <v>3623</v>
      </c>
    </row>
    <row r="10008" spans="35:37">
      <c r="AI10008" s="468">
        <v>52380</v>
      </c>
      <c r="AJ10008" s="5" t="s">
        <v>3617</v>
      </c>
      <c r="AK10008" s="5" t="s">
        <v>3625</v>
      </c>
    </row>
    <row r="10009" spans="35:37">
      <c r="AI10009" s="468">
        <v>52381</v>
      </c>
      <c r="AJ10009" s="5" t="s">
        <v>3619</v>
      </c>
      <c r="AK10009" s="5" t="s">
        <v>3627</v>
      </c>
    </row>
    <row r="10010" spans="35:37">
      <c r="AI10010" s="468">
        <v>52382</v>
      </c>
      <c r="AJ10010" s="5" t="s">
        <v>3621</v>
      </c>
      <c r="AK10010" s="5" t="s">
        <v>3618</v>
      </c>
    </row>
    <row r="10011" spans="35:37">
      <c r="AI10011" s="468">
        <v>52383</v>
      </c>
      <c r="AJ10011" s="5" t="s">
        <v>3579</v>
      </c>
      <c r="AK10011" s="5" t="s">
        <v>3620</v>
      </c>
    </row>
    <row r="10012" spans="35:37">
      <c r="AI10012" s="468">
        <v>52384</v>
      </c>
      <c r="AJ10012" s="5" t="s">
        <v>3624</v>
      </c>
      <c r="AK10012" s="5" t="s">
        <v>3622</v>
      </c>
    </row>
    <row r="10013" spans="35:37">
      <c r="AI10013" s="468">
        <v>52385</v>
      </c>
      <c r="AJ10013" s="5" t="s">
        <v>3626</v>
      </c>
      <c r="AK10013" s="5" t="s">
        <v>3623</v>
      </c>
    </row>
    <row r="10014" spans="35:37">
      <c r="AI10014" s="468">
        <v>52386</v>
      </c>
      <c r="AJ10014" s="5" t="s">
        <v>3628</v>
      </c>
      <c r="AK10014" s="5" t="s">
        <v>3625</v>
      </c>
    </row>
    <row r="10015" spans="35:37">
      <c r="AI10015" s="468">
        <v>52387</v>
      </c>
      <c r="AJ10015" s="5" t="s">
        <v>3617</v>
      </c>
      <c r="AK10015" s="5" t="s">
        <v>3627</v>
      </c>
    </row>
    <row r="10016" spans="35:37">
      <c r="AI10016" s="468">
        <v>52388</v>
      </c>
      <c r="AJ10016" s="5" t="s">
        <v>3619</v>
      </c>
      <c r="AK10016" s="5" t="s">
        <v>3618</v>
      </c>
    </row>
    <row r="10017" spans="35:37">
      <c r="AI10017" s="468">
        <v>52389</v>
      </c>
      <c r="AJ10017" s="5" t="s">
        <v>3621</v>
      </c>
      <c r="AK10017" s="5" t="s">
        <v>3623</v>
      </c>
    </row>
    <row r="10018" spans="35:37">
      <c r="AI10018" s="468">
        <v>52390</v>
      </c>
      <c r="AJ10018" s="5" t="s">
        <v>3579</v>
      </c>
      <c r="AK10018" s="5" t="s">
        <v>3625</v>
      </c>
    </row>
    <row r="10019" spans="35:37">
      <c r="AI10019" s="468">
        <v>52391</v>
      </c>
      <c r="AJ10019" s="5" t="s">
        <v>3624</v>
      </c>
      <c r="AK10019" s="5" t="s">
        <v>3627</v>
      </c>
    </row>
    <row r="10020" spans="35:37">
      <c r="AI10020" s="468">
        <v>52392</v>
      </c>
      <c r="AJ10020" s="5" t="s">
        <v>3626</v>
      </c>
      <c r="AK10020" s="5" t="s">
        <v>3618</v>
      </c>
    </row>
    <row r="10021" spans="35:37">
      <c r="AI10021" s="468">
        <v>52393</v>
      </c>
      <c r="AJ10021" s="5" t="s">
        <v>3628</v>
      </c>
      <c r="AK10021" s="5" t="s">
        <v>3620</v>
      </c>
    </row>
    <row r="10022" spans="35:37">
      <c r="AI10022" s="468">
        <v>52394</v>
      </c>
      <c r="AJ10022" s="5" t="s">
        <v>3617</v>
      </c>
      <c r="AK10022" s="5" t="s">
        <v>3622</v>
      </c>
    </row>
    <row r="10023" spans="35:37">
      <c r="AI10023" s="468">
        <v>52395</v>
      </c>
      <c r="AJ10023" s="5" t="s">
        <v>3619</v>
      </c>
      <c r="AK10023" s="5" t="s">
        <v>3623</v>
      </c>
    </row>
    <row r="10024" spans="35:37">
      <c r="AI10024" s="468">
        <v>52396</v>
      </c>
      <c r="AJ10024" s="5" t="s">
        <v>3621</v>
      </c>
      <c r="AK10024" s="5" t="s">
        <v>3625</v>
      </c>
    </row>
    <row r="10025" spans="35:37">
      <c r="AI10025" s="468">
        <v>52397</v>
      </c>
      <c r="AJ10025" s="5" t="s">
        <v>3579</v>
      </c>
      <c r="AK10025" s="5" t="s">
        <v>3627</v>
      </c>
    </row>
    <row r="10026" spans="35:37">
      <c r="AI10026" s="468">
        <v>52398</v>
      </c>
      <c r="AJ10026" s="5" t="s">
        <v>3624</v>
      </c>
      <c r="AK10026" s="5" t="s">
        <v>3618</v>
      </c>
    </row>
    <row r="10027" spans="35:37">
      <c r="AI10027" s="468">
        <v>52399</v>
      </c>
      <c r="AJ10027" s="5" t="s">
        <v>3626</v>
      </c>
      <c r="AK10027" s="5" t="s">
        <v>3620</v>
      </c>
    </row>
    <row r="10028" spans="35:37">
      <c r="AI10028" s="468">
        <v>52400</v>
      </c>
      <c r="AJ10028" s="5" t="s">
        <v>3628</v>
      </c>
      <c r="AK10028" s="5" t="s">
        <v>3622</v>
      </c>
    </row>
    <row r="10029" spans="35:37">
      <c r="AI10029" s="468">
        <v>52401</v>
      </c>
      <c r="AJ10029" s="5" t="s">
        <v>3617</v>
      </c>
      <c r="AK10029" s="5" t="s">
        <v>3623</v>
      </c>
    </row>
    <row r="10030" spans="35:37">
      <c r="AI10030" s="468">
        <v>52402</v>
      </c>
      <c r="AJ10030" s="5" t="s">
        <v>3619</v>
      </c>
      <c r="AK10030" s="5" t="s">
        <v>3625</v>
      </c>
    </row>
    <row r="10031" spans="35:37">
      <c r="AI10031" s="468">
        <v>52403</v>
      </c>
      <c r="AJ10031" s="5" t="s">
        <v>3621</v>
      </c>
      <c r="AK10031" s="5" t="s">
        <v>3627</v>
      </c>
    </row>
    <row r="10032" spans="35:37">
      <c r="AI10032" s="468">
        <v>52404</v>
      </c>
      <c r="AJ10032" s="5" t="s">
        <v>3579</v>
      </c>
      <c r="AK10032" s="5" t="s">
        <v>3618</v>
      </c>
    </row>
    <row r="10033" spans="35:37">
      <c r="AI10033" s="468">
        <v>52405</v>
      </c>
      <c r="AJ10033" s="5" t="s">
        <v>3624</v>
      </c>
      <c r="AK10033" s="5" t="s">
        <v>3620</v>
      </c>
    </row>
    <row r="10034" spans="35:37">
      <c r="AI10034" s="468">
        <v>52406</v>
      </c>
      <c r="AJ10034" s="5" t="s">
        <v>3626</v>
      </c>
      <c r="AK10034" s="5" t="s">
        <v>3622</v>
      </c>
    </row>
    <row r="10035" spans="35:37">
      <c r="AI10035" s="468">
        <v>52407</v>
      </c>
      <c r="AJ10035" s="5" t="s">
        <v>3628</v>
      </c>
      <c r="AK10035" s="5" t="s">
        <v>3623</v>
      </c>
    </row>
    <row r="10036" spans="35:37">
      <c r="AI10036" s="468">
        <v>52408</v>
      </c>
      <c r="AJ10036" s="5" t="s">
        <v>3617</v>
      </c>
      <c r="AK10036" s="5" t="s">
        <v>3625</v>
      </c>
    </row>
    <row r="10037" spans="35:37">
      <c r="AI10037" s="468">
        <v>52409</v>
      </c>
      <c r="AJ10037" s="5" t="s">
        <v>3619</v>
      </c>
      <c r="AK10037" s="5" t="s">
        <v>3627</v>
      </c>
    </row>
    <row r="10038" spans="35:37">
      <c r="AI10038" s="468">
        <v>52410</v>
      </c>
      <c r="AJ10038" s="5" t="s">
        <v>3621</v>
      </c>
      <c r="AK10038" s="5" t="s">
        <v>3618</v>
      </c>
    </row>
    <row r="10039" spans="35:37">
      <c r="AI10039" s="468">
        <v>52411</v>
      </c>
      <c r="AJ10039" s="5" t="s">
        <v>3579</v>
      </c>
      <c r="AK10039" s="5" t="s">
        <v>3620</v>
      </c>
    </row>
    <row r="10040" spans="35:37">
      <c r="AI10040" s="468">
        <v>52412</v>
      </c>
      <c r="AJ10040" s="5" t="s">
        <v>3624</v>
      </c>
      <c r="AK10040" s="5" t="s">
        <v>3622</v>
      </c>
    </row>
    <row r="10041" spans="35:37">
      <c r="AI10041" s="468">
        <v>52413</v>
      </c>
      <c r="AJ10041" s="5" t="s">
        <v>3626</v>
      </c>
      <c r="AK10041" s="5" t="s">
        <v>3623</v>
      </c>
    </row>
    <row r="10042" spans="35:37">
      <c r="AI10042" s="468">
        <v>52414</v>
      </c>
      <c r="AJ10042" s="5" t="s">
        <v>3628</v>
      </c>
      <c r="AK10042" s="5" t="s">
        <v>3625</v>
      </c>
    </row>
    <row r="10043" spans="35:37">
      <c r="AI10043" s="468">
        <v>52415</v>
      </c>
      <c r="AJ10043" s="5" t="s">
        <v>3617</v>
      </c>
      <c r="AK10043" s="5" t="s">
        <v>3627</v>
      </c>
    </row>
    <row r="10044" spans="35:37">
      <c r="AI10044" s="468">
        <v>52416</v>
      </c>
      <c r="AJ10044" s="5" t="s">
        <v>3619</v>
      </c>
      <c r="AK10044" s="5" t="s">
        <v>3618</v>
      </c>
    </row>
    <row r="10045" spans="35:37">
      <c r="AI10045" s="468">
        <v>52417</v>
      </c>
      <c r="AJ10045" s="5" t="s">
        <v>3621</v>
      </c>
      <c r="AK10045" s="5" t="s">
        <v>3620</v>
      </c>
    </row>
    <row r="10046" spans="35:37">
      <c r="AI10046" s="468">
        <v>52418</v>
      </c>
      <c r="AJ10046" s="5" t="s">
        <v>3579</v>
      </c>
      <c r="AK10046" s="5" t="s">
        <v>3622</v>
      </c>
    </row>
    <row r="10047" spans="35:37">
      <c r="AI10047" s="468">
        <v>52419</v>
      </c>
      <c r="AJ10047" s="5" t="s">
        <v>3624</v>
      </c>
      <c r="AK10047" s="5" t="s">
        <v>3625</v>
      </c>
    </row>
    <row r="10048" spans="35:37">
      <c r="AI10048" s="468">
        <v>52420</v>
      </c>
      <c r="AJ10048" s="5" t="s">
        <v>3626</v>
      </c>
      <c r="AK10048" s="5" t="s">
        <v>3627</v>
      </c>
    </row>
    <row r="10049" spans="35:37">
      <c r="AI10049" s="468">
        <v>52421</v>
      </c>
      <c r="AJ10049" s="5" t="s">
        <v>3628</v>
      </c>
      <c r="AK10049" s="5" t="s">
        <v>3618</v>
      </c>
    </row>
    <row r="10050" spans="35:37">
      <c r="AI10050" s="468">
        <v>52422</v>
      </c>
      <c r="AJ10050" s="5" t="s">
        <v>3617</v>
      </c>
      <c r="AK10050" s="5" t="s">
        <v>3620</v>
      </c>
    </row>
    <row r="10051" spans="35:37">
      <c r="AI10051" s="468">
        <v>52423</v>
      </c>
      <c r="AJ10051" s="5" t="s">
        <v>3619</v>
      </c>
      <c r="AK10051" s="5" t="s">
        <v>3622</v>
      </c>
    </row>
    <row r="10052" spans="35:37">
      <c r="AI10052" s="468">
        <v>52424</v>
      </c>
      <c r="AJ10052" s="5" t="s">
        <v>3621</v>
      </c>
      <c r="AK10052" s="5" t="s">
        <v>3623</v>
      </c>
    </row>
    <row r="10053" spans="35:37">
      <c r="AI10053" s="468">
        <v>52425</v>
      </c>
      <c r="AJ10053" s="5" t="s">
        <v>3579</v>
      </c>
      <c r="AK10053" s="5" t="s">
        <v>3625</v>
      </c>
    </row>
    <row r="10054" spans="35:37">
      <c r="AI10054" s="468">
        <v>52426</v>
      </c>
      <c r="AJ10054" s="5" t="s">
        <v>3624</v>
      </c>
      <c r="AK10054" s="5" t="s">
        <v>3627</v>
      </c>
    </row>
    <row r="10055" spans="35:37">
      <c r="AI10055" s="468">
        <v>52427</v>
      </c>
      <c r="AJ10055" s="5" t="s">
        <v>3626</v>
      </c>
      <c r="AK10055" s="5" t="s">
        <v>3618</v>
      </c>
    </row>
    <row r="10056" spans="35:37">
      <c r="AI10056" s="468">
        <v>52428</v>
      </c>
      <c r="AJ10056" s="5" t="s">
        <v>3628</v>
      </c>
      <c r="AK10056" s="5" t="s">
        <v>3620</v>
      </c>
    </row>
    <row r="10057" spans="35:37">
      <c r="AI10057" s="468">
        <v>52429</v>
      </c>
      <c r="AJ10057" s="5" t="s">
        <v>3617</v>
      </c>
      <c r="AK10057" s="5" t="s">
        <v>3622</v>
      </c>
    </row>
    <row r="10058" spans="35:37">
      <c r="AI10058" s="468">
        <v>52430</v>
      </c>
      <c r="AJ10058" s="5" t="s">
        <v>3619</v>
      </c>
      <c r="AK10058" s="5" t="s">
        <v>3623</v>
      </c>
    </row>
    <row r="10059" spans="35:37">
      <c r="AI10059" s="468">
        <v>52431</v>
      </c>
      <c r="AJ10059" s="5" t="s">
        <v>3621</v>
      </c>
      <c r="AK10059" s="5" t="s">
        <v>3625</v>
      </c>
    </row>
    <row r="10060" spans="35:37">
      <c r="AI10060" s="468">
        <v>52432</v>
      </c>
      <c r="AJ10060" s="5" t="s">
        <v>3579</v>
      </c>
      <c r="AK10060" s="5" t="s">
        <v>3627</v>
      </c>
    </row>
    <row r="10061" spans="35:37">
      <c r="AI10061" s="468">
        <v>52433</v>
      </c>
      <c r="AJ10061" s="5" t="s">
        <v>3624</v>
      </c>
      <c r="AK10061" s="5" t="s">
        <v>3618</v>
      </c>
    </row>
    <row r="10062" spans="35:37">
      <c r="AI10062" s="468">
        <v>52434</v>
      </c>
      <c r="AJ10062" s="5" t="s">
        <v>3626</v>
      </c>
      <c r="AK10062" s="5" t="s">
        <v>3620</v>
      </c>
    </row>
    <row r="10063" spans="35:37">
      <c r="AI10063" s="468">
        <v>52435</v>
      </c>
      <c r="AJ10063" s="5" t="s">
        <v>3628</v>
      </c>
      <c r="AK10063" s="5" t="s">
        <v>3622</v>
      </c>
    </row>
    <row r="10064" spans="35:37">
      <c r="AI10064" s="468">
        <v>52436</v>
      </c>
      <c r="AJ10064" s="5" t="s">
        <v>3617</v>
      </c>
      <c r="AK10064" s="5" t="s">
        <v>3623</v>
      </c>
    </row>
    <row r="10065" spans="35:37">
      <c r="AI10065" s="468">
        <v>52437</v>
      </c>
      <c r="AJ10065" s="5" t="s">
        <v>3619</v>
      </c>
      <c r="AK10065" s="5" t="s">
        <v>3625</v>
      </c>
    </row>
    <row r="10066" spans="35:37">
      <c r="AI10066" s="468">
        <v>52438</v>
      </c>
      <c r="AJ10066" s="5" t="s">
        <v>3621</v>
      </c>
      <c r="AK10066" s="5" t="s">
        <v>3627</v>
      </c>
    </row>
    <row r="10067" spans="35:37">
      <c r="AI10067" s="468">
        <v>52439</v>
      </c>
      <c r="AJ10067" s="5" t="s">
        <v>3579</v>
      </c>
      <c r="AK10067" s="5" t="s">
        <v>3618</v>
      </c>
    </row>
    <row r="10068" spans="35:37">
      <c r="AI10068" s="468">
        <v>52440</v>
      </c>
      <c r="AJ10068" s="5" t="s">
        <v>3624</v>
      </c>
      <c r="AK10068" s="5" t="s">
        <v>3620</v>
      </c>
    </row>
    <row r="10069" spans="35:37">
      <c r="AI10069" s="468">
        <v>52441</v>
      </c>
      <c r="AJ10069" s="5" t="s">
        <v>3626</v>
      </c>
      <c r="AK10069" s="5" t="s">
        <v>3622</v>
      </c>
    </row>
    <row r="10070" spans="35:37">
      <c r="AI10070" s="468">
        <v>52442</v>
      </c>
      <c r="AJ10070" s="5" t="s">
        <v>3628</v>
      </c>
      <c r="AK10070" s="5" t="s">
        <v>3623</v>
      </c>
    </row>
    <row r="10071" spans="35:37">
      <c r="AI10071" s="468">
        <v>52443</v>
      </c>
      <c r="AJ10071" s="5" t="s">
        <v>3617</v>
      </c>
      <c r="AK10071" s="5" t="s">
        <v>3625</v>
      </c>
    </row>
    <row r="10072" spans="35:37">
      <c r="AI10072" s="468">
        <v>52444</v>
      </c>
      <c r="AJ10072" s="5" t="s">
        <v>3619</v>
      </c>
      <c r="AK10072" s="5" t="s">
        <v>3627</v>
      </c>
    </row>
    <row r="10073" spans="35:37">
      <c r="AI10073" s="468">
        <v>52445</v>
      </c>
      <c r="AJ10073" s="5" t="s">
        <v>3621</v>
      </c>
      <c r="AK10073" s="5" t="s">
        <v>3618</v>
      </c>
    </row>
    <row r="10074" spans="35:37">
      <c r="AI10074" s="468">
        <v>52446</v>
      </c>
      <c r="AJ10074" s="5" t="s">
        <v>3579</v>
      </c>
      <c r="AK10074" s="5" t="s">
        <v>3620</v>
      </c>
    </row>
    <row r="10075" spans="35:37">
      <c r="AI10075" s="468">
        <v>52447</v>
      </c>
      <c r="AJ10075" s="5" t="s">
        <v>3624</v>
      </c>
      <c r="AK10075" s="5" t="s">
        <v>3622</v>
      </c>
    </row>
    <row r="10076" spans="35:37">
      <c r="AI10076" s="468">
        <v>52448</v>
      </c>
      <c r="AJ10076" s="5" t="s">
        <v>3626</v>
      </c>
      <c r="AK10076" s="5" t="s">
        <v>3627</v>
      </c>
    </row>
    <row r="10077" spans="35:37">
      <c r="AI10077" s="468">
        <v>52449</v>
      </c>
      <c r="AJ10077" s="5" t="s">
        <v>3628</v>
      </c>
      <c r="AK10077" s="5" t="s">
        <v>3618</v>
      </c>
    </row>
    <row r="10078" spans="35:37">
      <c r="AI10078" s="468">
        <v>52450</v>
      </c>
      <c r="AJ10078" s="5" t="s">
        <v>3617</v>
      </c>
      <c r="AK10078" s="5" t="s">
        <v>3620</v>
      </c>
    </row>
    <row r="10079" spans="35:37">
      <c r="AI10079" s="468">
        <v>52451</v>
      </c>
      <c r="AJ10079" s="5" t="s">
        <v>3619</v>
      </c>
      <c r="AK10079" s="5" t="s">
        <v>3622</v>
      </c>
    </row>
    <row r="10080" spans="35:37">
      <c r="AI10080" s="468">
        <v>52452</v>
      </c>
      <c r="AJ10080" s="5" t="s">
        <v>3621</v>
      </c>
      <c r="AK10080" s="5" t="s">
        <v>3623</v>
      </c>
    </row>
    <row r="10081" spans="35:37">
      <c r="AI10081" s="468">
        <v>52453</v>
      </c>
      <c r="AJ10081" s="5" t="s">
        <v>3579</v>
      </c>
      <c r="AK10081" s="5" t="s">
        <v>3625</v>
      </c>
    </row>
    <row r="10082" spans="35:37">
      <c r="AI10082" s="468">
        <v>52454</v>
      </c>
      <c r="AJ10082" s="5" t="s">
        <v>3624</v>
      </c>
      <c r="AK10082" s="5" t="s">
        <v>3627</v>
      </c>
    </row>
    <row r="10083" spans="35:37">
      <c r="AI10083" s="468">
        <v>52455</v>
      </c>
      <c r="AJ10083" s="5" t="s">
        <v>3626</v>
      </c>
      <c r="AK10083" s="5" t="s">
        <v>3618</v>
      </c>
    </row>
    <row r="10084" spans="35:37">
      <c r="AI10084" s="468">
        <v>52456</v>
      </c>
      <c r="AJ10084" s="5" t="s">
        <v>3628</v>
      </c>
      <c r="AK10084" s="5" t="s">
        <v>3620</v>
      </c>
    </row>
    <row r="10085" spans="35:37">
      <c r="AI10085" s="468">
        <v>52457</v>
      </c>
      <c r="AJ10085" s="5" t="s">
        <v>3617</v>
      </c>
      <c r="AK10085" s="5" t="s">
        <v>3622</v>
      </c>
    </row>
    <row r="10086" spans="35:37">
      <c r="AI10086" s="468">
        <v>52458</v>
      </c>
      <c r="AJ10086" s="5" t="s">
        <v>3619</v>
      </c>
      <c r="AK10086" s="5" t="s">
        <v>3623</v>
      </c>
    </row>
    <row r="10087" spans="35:37">
      <c r="AI10087" s="468">
        <v>52459</v>
      </c>
      <c r="AJ10087" s="5" t="s">
        <v>3621</v>
      </c>
      <c r="AK10087" s="5" t="s">
        <v>3625</v>
      </c>
    </row>
    <row r="10088" spans="35:37">
      <c r="AI10088" s="468">
        <v>52460</v>
      </c>
      <c r="AJ10088" s="5" t="s">
        <v>3579</v>
      </c>
      <c r="AK10088" s="5" t="s">
        <v>3627</v>
      </c>
    </row>
    <row r="10089" spans="35:37">
      <c r="AI10089" s="468">
        <v>52461</v>
      </c>
      <c r="AJ10089" s="5" t="s">
        <v>3624</v>
      </c>
      <c r="AK10089" s="5" t="s">
        <v>3618</v>
      </c>
    </row>
    <row r="10090" spans="35:37">
      <c r="AI10090" s="468">
        <v>52462</v>
      </c>
      <c r="AJ10090" s="5" t="s">
        <v>3626</v>
      </c>
      <c r="AK10090" s="5" t="s">
        <v>3620</v>
      </c>
    </row>
    <row r="10091" spans="35:37">
      <c r="AI10091" s="468">
        <v>52463</v>
      </c>
      <c r="AJ10091" s="5" t="s">
        <v>3628</v>
      </c>
      <c r="AK10091" s="5" t="s">
        <v>3622</v>
      </c>
    </row>
    <row r="10092" spans="35:37">
      <c r="AI10092" s="468">
        <v>52464</v>
      </c>
      <c r="AJ10092" s="5" t="s">
        <v>3617</v>
      </c>
      <c r="AK10092" s="5" t="s">
        <v>3623</v>
      </c>
    </row>
    <row r="10093" spans="35:37">
      <c r="AI10093" s="468">
        <v>52465</v>
      </c>
      <c r="AJ10093" s="5" t="s">
        <v>3619</v>
      </c>
      <c r="AK10093" s="5" t="s">
        <v>3625</v>
      </c>
    </row>
    <row r="10094" spans="35:37">
      <c r="AI10094" s="468">
        <v>52466</v>
      </c>
      <c r="AJ10094" s="5" t="s">
        <v>3621</v>
      </c>
      <c r="AK10094" s="5" t="s">
        <v>3627</v>
      </c>
    </row>
    <row r="10095" spans="35:37">
      <c r="AI10095" s="468">
        <v>52467</v>
      </c>
      <c r="AJ10095" s="5" t="s">
        <v>3579</v>
      </c>
      <c r="AK10095" s="5" t="s">
        <v>3618</v>
      </c>
    </row>
    <row r="10096" spans="35:37">
      <c r="AI10096" s="468">
        <v>52468</v>
      </c>
      <c r="AJ10096" s="5" t="s">
        <v>3624</v>
      </c>
      <c r="AK10096" s="5" t="s">
        <v>3620</v>
      </c>
    </row>
    <row r="10097" spans="35:37">
      <c r="AI10097" s="468">
        <v>52469</v>
      </c>
      <c r="AJ10097" s="5" t="s">
        <v>3626</v>
      </c>
      <c r="AK10097" s="5" t="s">
        <v>3622</v>
      </c>
    </row>
    <row r="10098" spans="35:37">
      <c r="AI10098" s="468">
        <v>52470</v>
      </c>
      <c r="AJ10098" s="5" t="s">
        <v>3628</v>
      </c>
      <c r="AK10098" s="5" t="s">
        <v>3623</v>
      </c>
    </row>
    <row r="10099" spans="35:37">
      <c r="AI10099" s="468">
        <v>52471</v>
      </c>
      <c r="AJ10099" s="5" t="s">
        <v>3617</v>
      </c>
      <c r="AK10099" s="5" t="s">
        <v>3625</v>
      </c>
    </row>
    <row r="10100" spans="35:37">
      <c r="AI10100" s="468">
        <v>52472</v>
      </c>
      <c r="AJ10100" s="5" t="s">
        <v>3619</v>
      </c>
      <c r="AK10100" s="5" t="s">
        <v>3627</v>
      </c>
    </row>
    <row r="10101" spans="35:37">
      <c r="AI10101" s="468">
        <v>52473</v>
      </c>
      <c r="AJ10101" s="5" t="s">
        <v>3621</v>
      </c>
      <c r="AK10101" s="5" t="s">
        <v>3618</v>
      </c>
    </row>
    <row r="10102" spans="35:37">
      <c r="AI10102" s="468">
        <v>52474</v>
      </c>
      <c r="AJ10102" s="5" t="s">
        <v>3579</v>
      </c>
      <c r="AK10102" s="5" t="s">
        <v>3620</v>
      </c>
    </row>
    <row r="10103" spans="35:37">
      <c r="AI10103" s="468">
        <v>52475</v>
      </c>
      <c r="AJ10103" s="5" t="s">
        <v>3624</v>
      </c>
      <c r="AK10103" s="5" t="s">
        <v>3622</v>
      </c>
    </row>
    <row r="10104" spans="35:37">
      <c r="AI10104" s="468">
        <v>52476</v>
      </c>
      <c r="AJ10104" s="5" t="s">
        <v>3626</v>
      </c>
      <c r="AK10104" s="5" t="s">
        <v>3623</v>
      </c>
    </row>
    <row r="10105" spans="35:37">
      <c r="AI10105" s="468">
        <v>52477</v>
      </c>
      <c r="AJ10105" s="5" t="s">
        <v>3628</v>
      </c>
      <c r="AK10105" s="5" t="s">
        <v>3618</v>
      </c>
    </row>
    <row r="10106" spans="35:37">
      <c r="AI10106" s="468">
        <v>52478</v>
      </c>
      <c r="AJ10106" s="5" t="s">
        <v>3617</v>
      </c>
      <c r="AK10106" s="5" t="s">
        <v>3620</v>
      </c>
    </row>
    <row r="10107" spans="35:37">
      <c r="AI10107" s="468">
        <v>52479</v>
      </c>
      <c r="AJ10107" s="5" t="s">
        <v>3619</v>
      </c>
      <c r="AK10107" s="5" t="s">
        <v>3622</v>
      </c>
    </row>
    <row r="10108" spans="35:37">
      <c r="AI10108" s="468">
        <v>52480</v>
      </c>
      <c r="AJ10108" s="5" t="s">
        <v>3621</v>
      </c>
      <c r="AK10108" s="5" t="s">
        <v>3623</v>
      </c>
    </row>
    <row r="10109" spans="35:37">
      <c r="AI10109" s="468">
        <v>52481</v>
      </c>
      <c r="AJ10109" s="5" t="s">
        <v>3579</v>
      </c>
      <c r="AK10109" s="5" t="s">
        <v>3625</v>
      </c>
    </row>
    <row r="10110" spans="35:37">
      <c r="AI10110" s="468">
        <v>52482</v>
      </c>
      <c r="AJ10110" s="5" t="s">
        <v>3624</v>
      </c>
      <c r="AK10110" s="5" t="s">
        <v>3627</v>
      </c>
    </row>
    <row r="10111" spans="35:37">
      <c r="AI10111" s="468">
        <v>52483</v>
      </c>
      <c r="AJ10111" s="5" t="s">
        <v>3626</v>
      </c>
      <c r="AK10111" s="5" t="s">
        <v>3618</v>
      </c>
    </row>
    <row r="10112" spans="35:37">
      <c r="AI10112" s="468">
        <v>52484</v>
      </c>
      <c r="AJ10112" s="5" t="s">
        <v>3628</v>
      </c>
      <c r="AK10112" s="5" t="s">
        <v>3620</v>
      </c>
    </row>
    <row r="10113" spans="35:37">
      <c r="AI10113" s="468">
        <v>52485</v>
      </c>
      <c r="AJ10113" s="5" t="s">
        <v>3617</v>
      </c>
      <c r="AK10113" s="5" t="s">
        <v>3622</v>
      </c>
    </row>
    <row r="10114" spans="35:37">
      <c r="AI10114" s="468">
        <v>52486</v>
      </c>
      <c r="AJ10114" s="5" t="s">
        <v>3619</v>
      </c>
      <c r="AK10114" s="5" t="s">
        <v>3623</v>
      </c>
    </row>
    <row r="10115" spans="35:37">
      <c r="AI10115" s="468">
        <v>52487</v>
      </c>
      <c r="AJ10115" s="5" t="s">
        <v>3621</v>
      </c>
      <c r="AK10115" s="5" t="s">
        <v>3625</v>
      </c>
    </row>
    <row r="10116" spans="35:37">
      <c r="AI10116" s="468">
        <v>52488</v>
      </c>
      <c r="AJ10116" s="5" t="s">
        <v>3579</v>
      </c>
      <c r="AK10116" s="5" t="s">
        <v>3627</v>
      </c>
    </row>
    <row r="10117" spans="35:37">
      <c r="AI10117" s="468">
        <v>52489</v>
      </c>
      <c r="AJ10117" s="5" t="s">
        <v>3624</v>
      </c>
      <c r="AK10117" s="5" t="s">
        <v>3618</v>
      </c>
    </row>
    <row r="10118" spans="35:37">
      <c r="AI10118" s="468">
        <v>52490</v>
      </c>
      <c r="AJ10118" s="5" t="s">
        <v>3626</v>
      </c>
      <c r="AK10118" s="5" t="s">
        <v>3620</v>
      </c>
    </row>
    <row r="10119" spans="35:37">
      <c r="AI10119" s="468">
        <v>52491</v>
      </c>
      <c r="AJ10119" s="5" t="s">
        <v>3628</v>
      </c>
      <c r="AK10119" s="5" t="s">
        <v>3622</v>
      </c>
    </row>
    <row r="10120" spans="35:37">
      <c r="AI10120" s="468">
        <v>52492</v>
      </c>
      <c r="AJ10120" s="5" t="s">
        <v>3617</v>
      </c>
      <c r="AK10120" s="5" t="s">
        <v>3623</v>
      </c>
    </row>
    <row r="10121" spans="35:37">
      <c r="AI10121" s="468">
        <v>52493</v>
      </c>
      <c r="AJ10121" s="5" t="s">
        <v>3619</v>
      </c>
      <c r="AK10121" s="5" t="s">
        <v>3625</v>
      </c>
    </row>
    <row r="10122" spans="35:37">
      <c r="AI10122" s="468">
        <v>52494</v>
      </c>
      <c r="AJ10122" s="5" t="s">
        <v>3621</v>
      </c>
      <c r="AK10122" s="5" t="s">
        <v>3627</v>
      </c>
    </row>
    <row r="10123" spans="35:37">
      <c r="AI10123" s="468">
        <v>52495</v>
      </c>
      <c r="AJ10123" s="5" t="s">
        <v>3579</v>
      </c>
      <c r="AK10123" s="5" t="s">
        <v>3618</v>
      </c>
    </row>
    <row r="10124" spans="35:37">
      <c r="AI10124" s="468">
        <v>52496</v>
      </c>
      <c r="AJ10124" s="5" t="s">
        <v>3624</v>
      </c>
      <c r="AK10124" s="5" t="s">
        <v>3620</v>
      </c>
    </row>
    <row r="10125" spans="35:37">
      <c r="AI10125" s="468">
        <v>52497</v>
      </c>
      <c r="AJ10125" s="5" t="s">
        <v>3626</v>
      </c>
      <c r="AK10125" s="5" t="s">
        <v>3622</v>
      </c>
    </row>
    <row r="10126" spans="35:37">
      <c r="AI10126" s="468">
        <v>52498</v>
      </c>
      <c r="AJ10126" s="5" t="s">
        <v>3628</v>
      </c>
      <c r="AK10126" s="5" t="s">
        <v>3623</v>
      </c>
    </row>
    <row r="10127" spans="35:37">
      <c r="AI10127" s="468">
        <v>52499</v>
      </c>
      <c r="AJ10127" s="5" t="s">
        <v>3617</v>
      </c>
      <c r="AK10127" s="5" t="s">
        <v>3625</v>
      </c>
    </row>
    <row r="10128" spans="35:37">
      <c r="AI10128" s="468">
        <v>52500</v>
      </c>
      <c r="AJ10128" s="5" t="s">
        <v>3619</v>
      </c>
      <c r="AK10128" s="5" t="s">
        <v>3627</v>
      </c>
    </row>
    <row r="10129" spans="35:37">
      <c r="AI10129" s="468">
        <v>52501</v>
      </c>
      <c r="AJ10129" s="5" t="s">
        <v>3621</v>
      </c>
      <c r="AK10129" s="5" t="s">
        <v>3618</v>
      </c>
    </row>
    <row r="10130" spans="35:37">
      <c r="AI10130" s="468">
        <v>52502</v>
      </c>
      <c r="AJ10130" s="5" t="s">
        <v>3579</v>
      </c>
      <c r="AK10130" s="5" t="s">
        <v>3620</v>
      </c>
    </row>
    <row r="10131" spans="35:37">
      <c r="AI10131" s="468">
        <v>52503</v>
      </c>
      <c r="AJ10131" s="5" t="s">
        <v>3624</v>
      </c>
      <c r="AK10131" s="5" t="s">
        <v>3622</v>
      </c>
    </row>
    <row r="10132" spans="35:37">
      <c r="AI10132" s="468">
        <v>52504</v>
      </c>
      <c r="AJ10132" s="5" t="s">
        <v>3626</v>
      </c>
      <c r="AK10132" s="5" t="s">
        <v>3623</v>
      </c>
    </row>
    <row r="10133" spans="35:37">
      <c r="AI10133" s="468">
        <v>52505</v>
      </c>
      <c r="AJ10133" s="5" t="s">
        <v>3628</v>
      </c>
      <c r="AK10133" s="5" t="s">
        <v>3625</v>
      </c>
    </row>
    <row r="10134" spans="35:37">
      <c r="AI10134" s="468">
        <v>52506</v>
      </c>
      <c r="AJ10134" s="5" t="s">
        <v>3617</v>
      </c>
      <c r="AK10134" s="5" t="s">
        <v>3627</v>
      </c>
    </row>
    <row r="10135" spans="35:37">
      <c r="AI10135" s="468">
        <v>52507</v>
      </c>
      <c r="AJ10135" s="5" t="s">
        <v>3619</v>
      </c>
      <c r="AK10135" s="5" t="s">
        <v>3620</v>
      </c>
    </row>
    <row r="10136" spans="35:37">
      <c r="AI10136" s="468">
        <v>52508</v>
      </c>
      <c r="AJ10136" s="5" t="s">
        <v>3621</v>
      </c>
      <c r="AK10136" s="5" t="s">
        <v>3622</v>
      </c>
    </row>
    <row r="10137" spans="35:37">
      <c r="AI10137" s="468">
        <v>52509</v>
      </c>
      <c r="AJ10137" s="5" t="s">
        <v>3579</v>
      </c>
      <c r="AK10137" s="5" t="s">
        <v>3623</v>
      </c>
    </row>
    <row r="10138" spans="35:37">
      <c r="AI10138" s="468">
        <v>52510</v>
      </c>
      <c r="AJ10138" s="5" t="s">
        <v>3624</v>
      </c>
      <c r="AK10138" s="5" t="s">
        <v>3625</v>
      </c>
    </row>
    <row r="10139" spans="35:37">
      <c r="AI10139" s="468">
        <v>52511</v>
      </c>
      <c r="AJ10139" s="5" t="s">
        <v>3626</v>
      </c>
      <c r="AK10139" s="5" t="s">
        <v>3627</v>
      </c>
    </row>
    <row r="10140" spans="35:37">
      <c r="AI10140" s="468">
        <v>52512</v>
      </c>
      <c r="AJ10140" s="5" t="s">
        <v>3628</v>
      </c>
      <c r="AK10140" s="5" t="s">
        <v>3618</v>
      </c>
    </row>
    <row r="10141" spans="35:37">
      <c r="AI10141" s="468">
        <v>52513</v>
      </c>
      <c r="AJ10141" s="5" t="s">
        <v>3617</v>
      </c>
      <c r="AK10141" s="5" t="s">
        <v>3620</v>
      </c>
    </row>
    <row r="10142" spans="35:37">
      <c r="AI10142" s="468">
        <v>52514</v>
      </c>
      <c r="AJ10142" s="5" t="s">
        <v>3619</v>
      </c>
      <c r="AK10142" s="5" t="s">
        <v>3622</v>
      </c>
    </row>
    <row r="10143" spans="35:37">
      <c r="AI10143" s="468">
        <v>52515</v>
      </c>
      <c r="AJ10143" s="5" t="s">
        <v>3621</v>
      </c>
      <c r="AK10143" s="5" t="s">
        <v>3623</v>
      </c>
    </row>
    <row r="10144" spans="35:37">
      <c r="AI10144" s="468">
        <v>52516</v>
      </c>
      <c r="AJ10144" s="5" t="s">
        <v>3579</v>
      </c>
      <c r="AK10144" s="5" t="s">
        <v>3625</v>
      </c>
    </row>
    <row r="10145" spans="35:37">
      <c r="AI10145" s="468">
        <v>52517</v>
      </c>
      <c r="AJ10145" s="5" t="s">
        <v>3624</v>
      </c>
      <c r="AK10145" s="5" t="s">
        <v>3627</v>
      </c>
    </row>
    <row r="10146" spans="35:37">
      <c r="AI10146" s="468">
        <v>52518</v>
      </c>
      <c r="AJ10146" s="5" t="s">
        <v>3626</v>
      </c>
      <c r="AK10146" s="5" t="s">
        <v>3618</v>
      </c>
    </row>
    <row r="10147" spans="35:37">
      <c r="AI10147" s="468">
        <v>52519</v>
      </c>
      <c r="AJ10147" s="5" t="s">
        <v>3628</v>
      </c>
      <c r="AK10147" s="5" t="s">
        <v>3620</v>
      </c>
    </row>
    <row r="10148" spans="35:37">
      <c r="AI10148" s="468">
        <v>52520</v>
      </c>
      <c r="AJ10148" s="5" t="s">
        <v>3617</v>
      </c>
      <c r="AK10148" s="5" t="s">
        <v>3622</v>
      </c>
    </row>
    <row r="10149" spans="35:37">
      <c r="AI10149" s="468">
        <v>52521</v>
      </c>
      <c r="AJ10149" s="5" t="s">
        <v>3619</v>
      </c>
      <c r="AK10149" s="5" t="s">
        <v>3623</v>
      </c>
    </row>
    <row r="10150" spans="35:37">
      <c r="AI10150" s="468">
        <v>52522</v>
      </c>
      <c r="AJ10150" s="5" t="s">
        <v>3621</v>
      </c>
      <c r="AK10150" s="5" t="s">
        <v>3625</v>
      </c>
    </row>
    <row r="10151" spans="35:37">
      <c r="AI10151" s="468">
        <v>52523</v>
      </c>
      <c r="AJ10151" s="5" t="s">
        <v>3579</v>
      </c>
      <c r="AK10151" s="5" t="s">
        <v>3627</v>
      </c>
    </row>
    <row r="10152" spans="35:37">
      <c r="AI10152" s="468">
        <v>52524</v>
      </c>
      <c r="AJ10152" s="5" t="s">
        <v>3624</v>
      </c>
      <c r="AK10152" s="5" t="s">
        <v>3618</v>
      </c>
    </row>
    <row r="10153" spans="35:37">
      <c r="AI10153" s="468">
        <v>52525</v>
      </c>
      <c r="AJ10153" s="5" t="s">
        <v>3626</v>
      </c>
      <c r="AK10153" s="5" t="s">
        <v>3620</v>
      </c>
    </row>
    <row r="10154" spans="35:37">
      <c r="AI10154" s="468">
        <v>52526</v>
      </c>
      <c r="AJ10154" s="5" t="s">
        <v>3628</v>
      </c>
      <c r="AK10154" s="5" t="s">
        <v>3622</v>
      </c>
    </row>
    <row r="10155" spans="35:37">
      <c r="AI10155" s="468">
        <v>52527</v>
      </c>
      <c r="AJ10155" s="5" t="s">
        <v>3617</v>
      </c>
      <c r="AK10155" s="5" t="s">
        <v>3623</v>
      </c>
    </row>
    <row r="10156" spans="35:37">
      <c r="AI10156" s="468">
        <v>52528</v>
      </c>
      <c r="AJ10156" s="5" t="s">
        <v>3619</v>
      </c>
      <c r="AK10156" s="5" t="s">
        <v>3625</v>
      </c>
    </row>
    <row r="10157" spans="35:37">
      <c r="AI10157" s="468">
        <v>52529</v>
      </c>
      <c r="AJ10157" s="5" t="s">
        <v>3621</v>
      </c>
      <c r="AK10157" s="5" t="s">
        <v>3627</v>
      </c>
    </row>
    <row r="10158" spans="35:37">
      <c r="AI10158" s="468">
        <v>52530</v>
      </c>
      <c r="AJ10158" s="5" t="s">
        <v>3579</v>
      </c>
      <c r="AK10158" s="5" t="s">
        <v>3618</v>
      </c>
    </row>
    <row r="10159" spans="35:37">
      <c r="AI10159" s="468">
        <v>52531</v>
      </c>
      <c r="AJ10159" s="5" t="s">
        <v>3624</v>
      </c>
      <c r="AK10159" s="5" t="s">
        <v>3620</v>
      </c>
    </row>
    <row r="10160" spans="35:37">
      <c r="AI10160" s="468">
        <v>52532</v>
      </c>
      <c r="AJ10160" s="5" t="s">
        <v>3626</v>
      </c>
      <c r="AK10160" s="5" t="s">
        <v>3622</v>
      </c>
    </row>
    <row r="10161" spans="35:37">
      <c r="AI10161" s="468">
        <v>52533</v>
      </c>
      <c r="AJ10161" s="5" t="s">
        <v>3628</v>
      </c>
      <c r="AK10161" s="5" t="s">
        <v>3623</v>
      </c>
    </row>
    <row r="10162" spans="35:37">
      <c r="AI10162" s="468">
        <v>52534</v>
      </c>
      <c r="AJ10162" s="5" t="s">
        <v>3617</v>
      </c>
      <c r="AK10162" s="5" t="s">
        <v>3625</v>
      </c>
    </row>
    <row r="10163" spans="35:37">
      <c r="AI10163" s="468">
        <v>52535</v>
      </c>
      <c r="AJ10163" s="5" t="s">
        <v>3619</v>
      </c>
      <c r="AK10163" s="5" t="s">
        <v>3627</v>
      </c>
    </row>
    <row r="10164" spans="35:37">
      <c r="AI10164" s="468">
        <v>52536</v>
      </c>
      <c r="AJ10164" s="5" t="s">
        <v>3621</v>
      </c>
      <c r="AK10164" s="5" t="s">
        <v>3618</v>
      </c>
    </row>
    <row r="10165" spans="35:37">
      <c r="AI10165" s="468">
        <v>52537</v>
      </c>
      <c r="AJ10165" s="5" t="s">
        <v>3579</v>
      </c>
      <c r="AK10165" s="5" t="s">
        <v>3622</v>
      </c>
    </row>
    <row r="10166" spans="35:37">
      <c r="AI10166" s="468">
        <v>52538</v>
      </c>
      <c r="AJ10166" s="5" t="s">
        <v>3624</v>
      </c>
      <c r="AK10166" s="5" t="s">
        <v>3623</v>
      </c>
    </row>
    <row r="10167" spans="35:37">
      <c r="AI10167" s="468">
        <v>52539</v>
      </c>
      <c r="AJ10167" s="5" t="s">
        <v>3626</v>
      </c>
      <c r="AK10167" s="5" t="s">
        <v>3625</v>
      </c>
    </row>
    <row r="10168" spans="35:37">
      <c r="AI10168" s="468">
        <v>52540</v>
      </c>
      <c r="AJ10168" s="5" t="s">
        <v>3628</v>
      </c>
      <c r="AK10168" s="5" t="s">
        <v>3627</v>
      </c>
    </row>
    <row r="10169" spans="35:37">
      <c r="AI10169" s="468">
        <v>52541</v>
      </c>
      <c r="AJ10169" s="5" t="s">
        <v>3617</v>
      </c>
      <c r="AK10169" s="5" t="s">
        <v>3618</v>
      </c>
    </row>
    <row r="10170" spans="35:37">
      <c r="AI10170" s="468">
        <v>52542</v>
      </c>
      <c r="AJ10170" s="5" t="s">
        <v>3619</v>
      </c>
      <c r="AK10170" s="5" t="s">
        <v>3620</v>
      </c>
    </row>
    <row r="10171" spans="35:37">
      <c r="AI10171" s="468">
        <v>52543</v>
      </c>
      <c r="AJ10171" s="5" t="s">
        <v>3621</v>
      </c>
      <c r="AK10171" s="5" t="s">
        <v>3622</v>
      </c>
    </row>
    <row r="10172" spans="35:37">
      <c r="AI10172" s="468">
        <v>52544</v>
      </c>
      <c r="AJ10172" s="5" t="s">
        <v>3579</v>
      </c>
      <c r="AK10172" s="5" t="s">
        <v>3623</v>
      </c>
    </row>
    <row r="10173" spans="35:37">
      <c r="AI10173" s="468">
        <v>52545</v>
      </c>
      <c r="AJ10173" s="5" t="s">
        <v>3624</v>
      </c>
      <c r="AK10173" s="5" t="s">
        <v>3625</v>
      </c>
    </row>
    <row r="10174" spans="35:37">
      <c r="AI10174" s="468">
        <v>52546</v>
      </c>
      <c r="AJ10174" s="5" t="s">
        <v>3626</v>
      </c>
      <c r="AK10174" s="5" t="s">
        <v>3627</v>
      </c>
    </row>
    <row r="10175" spans="35:37">
      <c r="AI10175" s="468">
        <v>52547</v>
      </c>
      <c r="AJ10175" s="5" t="s">
        <v>3628</v>
      </c>
      <c r="AK10175" s="5" t="s">
        <v>3618</v>
      </c>
    </row>
    <row r="10176" spans="35:37">
      <c r="AI10176" s="468">
        <v>52548</v>
      </c>
      <c r="AJ10176" s="5" t="s">
        <v>3617</v>
      </c>
      <c r="AK10176" s="5" t="s">
        <v>3620</v>
      </c>
    </row>
    <row r="10177" spans="35:37">
      <c r="AI10177" s="468">
        <v>52549</v>
      </c>
      <c r="AJ10177" s="5" t="s">
        <v>3619</v>
      </c>
      <c r="AK10177" s="5" t="s">
        <v>3622</v>
      </c>
    </row>
    <row r="10178" spans="35:37">
      <c r="AI10178" s="468">
        <v>52550</v>
      </c>
      <c r="AJ10178" s="5" t="s">
        <v>3621</v>
      </c>
      <c r="AK10178" s="5" t="s">
        <v>3623</v>
      </c>
    </row>
    <row r="10179" spans="35:37">
      <c r="AI10179" s="468">
        <v>52551</v>
      </c>
      <c r="AJ10179" s="5" t="s">
        <v>3579</v>
      </c>
      <c r="AK10179" s="5" t="s">
        <v>3625</v>
      </c>
    </row>
    <row r="10180" spans="35:37">
      <c r="AI10180" s="468">
        <v>52552</v>
      </c>
      <c r="AJ10180" s="5" t="s">
        <v>3624</v>
      </c>
      <c r="AK10180" s="5" t="s">
        <v>3627</v>
      </c>
    </row>
    <row r="10181" spans="35:37">
      <c r="AI10181" s="468">
        <v>52553</v>
      </c>
      <c r="AJ10181" s="5" t="s">
        <v>3626</v>
      </c>
      <c r="AK10181" s="5" t="s">
        <v>3618</v>
      </c>
    </row>
    <row r="10182" spans="35:37">
      <c r="AI10182" s="468">
        <v>52554</v>
      </c>
      <c r="AJ10182" s="5" t="s">
        <v>3628</v>
      </c>
      <c r="AK10182" s="5" t="s">
        <v>3620</v>
      </c>
    </row>
    <row r="10183" spans="35:37">
      <c r="AI10183" s="468">
        <v>52555</v>
      </c>
      <c r="AJ10183" s="5" t="s">
        <v>3617</v>
      </c>
      <c r="AK10183" s="5" t="s">
        <v>3622</v>
      </c>
    </row>
    <row r="10184" spans="35:37">
      <c r="AI10184" s="468">
        <v>52556</v>
      </c>
      <c r="AJ10184" s="5" t="s">
        <v>3619</v>
      </c>
      <c r="AK10184" s="5" t="s">
        <v>3623</v>
      </c>
    </row>
    <row r="10185" spans="35:37">
      <c r="AI10185" s="468">
        <v>52557</v>
      </c>
      <c r="AJ10185" s="5" t="s">
        <v>3621</v>
      </c>
      <c r="AK10185" s="5" t="s">
        <v>3625</v>
      </c>
    </row>
    <row r="10186" spans="35:37">
      <c r="AI10186" s="468">
        <v>52558</v>
      </c>
      <c r="AJ10186" s="5" t="s">
        <v>3579</v>
      </c>
      <c r="AK10186" s="5" t="s">
        <v>3627</v>
      </c>
    </row>
    <row r="10187" spans="35:37">
      <c r="AI10187" s="468">
        <v>52559</v>
      </c>
      <c r="AJ10187" s="5" t="s">
        <v>3624</v>
      </c>
      <c r="AK10187" s="5" t="s">
        <v>3618</v>
      </c>
    </row>
    <row r="10188" spans="35:37">
      <c r="AI10188" s="468">
        <v>52560</v>
      </c>
      <c r="AJ10188" s="5" t="s">
        <v>3626</v>
      </c>
      <c r="AK10188" s="5" t="s">
        <v>3620</v>
      </c>
    </row>
    <row r="10189" spans="35:37">
      <c r="AI10189" s="468">
        <v>52561</v>
      </c>
      <c r="AJ10189" s="5" t="s">
        <v>3628</v>
      </c>
      <c r="AK10189" s="5" t="s">
        <v>3622</v>
      </c>
    </row>
    <row r="10190" spans="35:37">
      <c r="AI10190" s="468">
        <v>52562</v>
      </c>
      <c r="AJ10190" s="5" t="s">
        <v>3617</v>
      </c>
      <c r="AK10190" s="5" t="s">
        <v>3623</v>
      </c>
    </row>
    <row r="10191" spans="35:37">
      <c r="AI10191" s="468">
        <v>52563</v>
      </c>
      <c r="AJ10191" s="5" t="s">
        <v>3619</v>
      </c>
      <c r="AK10191" s="5" t="s">
        <v>3625</v>
      </c>
    </row>
    <row r="10192" spans="35:37">
      <c r="AI10192" s="468">
        <v>52564</v>
      </c>
      <c r="AJ10192" s="5" t="s">
        <v>3621</v>
      </c>
      <c r="AK10192" s="5" t="s">
        <v>3627</v>
      </c>
    </row>
    <row r="10193" spans="35:37">
      <c r="AI10193" s="468">
        <v>52565</v>
      </c>
      <c r="AJ10193" s="5" t="s">
        <v>3579</v>
      </c>
      <c r="AK10193" s="5" t="s">
        <v>3618</v>
      </c>
    </row>
    <row r="10194" spans="35:37">
      <c r="AI10194" s="468">
        <v>52566</v>
      </c>
      <c r="AJ10194" s="5" t="s">
        <v>3624</v>
      </c>
      <c r="AK10194" s="5" t="s">
        <v>3623</v>
      </c>
    </row>
    <row r="10195" spans="35:37">
      <c r="AI10195" s="468">
        <v>52567</v>
      </c>
      <c r="AJ10195" s="5" t="s">
        <v>3626</v>
      </c>
      <c r="AK10195" s="5" t="s">
        <v>3625</v>
      </c>
    </row>
    <row r="10196" spans="35:37">
      <c r="AI10196" s="468">
        <v>52568</v>
      </c>
      <c r="AJ10196" s="5" t="s">
        <v>3628</v>
      </c>
      <c r="AK10196" s="5" t="s">
        <v>3627</v>
      </c>
    </row>
    <row r="10197" spans="35:37">
      <c r="AI10197" s="468">
        <v>52569</v>
      </c>
      <c r="AJ10197" s="5" t="s">
        <v>3617</v>
      </c>
      <c r="AK10197" s="5" t="s">
        <v>3618</v>
      </c>
    </row>
    <row r="10198" spans="35:37">
      <c r="AI10198" s="468">
        <v>52570</v>
      </c>
      <c r="AJ10198" s="5" t="s">
        <v>3619</v>
      </c>
      <c r="AK10198" s="5" t="s">
        <v>3620</v>
      </c>
    </row>
    <row r="10199" spans="35:37">
      <c r="AI10199" s="468">
        <v>52571</v>
      </c>
      <c r="AJ10199" s="5" t="s">
        <v>3621</v>
      </c>
      <c r="AK10199" s="5" t="s">
        <v>3622</v>
      </c>
    </row>
    <row r="10200" spans="35:37">
      <c r="AI10200" s="468">
        <v>52572</v>
      </c>
      <c r="AJ10200" s="5" t="s">
        <v>3579</v>
      </c>
      <c r="AK10200" s="5" t="s">
        <v>3623</v>
      </c>
    </row>
    <row r="10201" spans="35:37">
      <c r="AI10201" s="468">
        <v>52573</v>
      </c>
      <c r="AJ10201" s="5" t="s">
        <v>3624</v>
      </c>
      <c r="AK10201" s="5" t="s">
        <v>3625</v>
      </c>
    </row>
    <row r="10202" spans="35:37">
      <c r="AI10202" s="468">
        <v>52574</v>
      </c>
      <c r="AJ10202" s="5" t="s">
        <v>3626</v>
      </c>
      <c r="AK10202" s="5" t="s">
        <v>3627</v>
      </c>
    </row>
    <row r="10203" spans="35:37">
      <c r="AI10203" s="468">
        <v>52575</v>
      </c>
      <c r="AJ10203" s="5" t="s">
        <v>3628</v>
      </c>
      <c r="AK10203" s="5" t="s">
        <v>3618</v>
      </c>
    </row>
    <row r="10204" spans="35:37">
      <c r="AI10204" s="468">
        <v>52576</v>
      </c>
      <c r="AJ10204" s="5" t="s">
        <v>3617</v>
      </c>
      <c r="AK10204" s="5" t="s">
        <v>3620</v>
      </c>
    </row>
    <row r="10205" spans="35:37">
      <c r="AI10205" s="468">
        <v>52577</v>
      </c>
      <c r="AJ10205" s="5" t="s">
        <v>3619</v>
      </c>
      <c r="AK10205" s="5" t="s">
        <v>3622</v>
      </c>
    </row>
    <row r="10206" spans="35:37">
      <c r="AI10206" s="468">
        <v>52578</v>
      </c>
      <c r="AJ10206" s="5" t="s">
        <v>3621</v>
      </c>
      <c r="AK10206" s="5" t="s">
        <v>3623</v>
      </c>
    </row>
    <row r="10207" spans="35:37">
      <c r="AI10207" s="468">
        <v>52579</v>
      </c>
      <c r="AJ10207" s="5" t="s">
        <v>3579</v>
      </c>
      <c r="AK10207" s="5" t="s">
        <v>3625</v>
      </c>
    </row>
    <row r="10208" spans="35:37">
      <c r="AI10208" s="468">
        <v>52580</v>
      </c>
      <c r="AJ10208" s="5" t="s">
        <v>3624</v>
      </c>
      <c r="AK10208" s="5" t="s">
        <v>3627</v>
      </c>
    </row>
    <row r="10209" spans="35:37">
      <c r="AI10209" s="468">
        <v>52581</v>
      </c>
      <c r="AJ10209" s="5" t="s">
        <v>3626</v>
      </c>
      <c r="AK10209" s="5" t="s">
        <v>3618</v>
      </c>
    </row>
    <row r="10210" spans="35:37">
      <c r="AI10210" s="468">
        <v>52582</v>
      </c>
      <c r="AJ10210" s="5" t="s">
        <v>3628</v>
      </c>
      <c r="AK10210" s="5" t="s">
        <v>3620</v>
      </c>
    </row>
    <row r="10211" spans="35:37">
      <c r="AI10211" s="468">
        <v>52583</v>
      </c>
      <c r="AJ10211" s="5" t="s">
        <v>3617</v>
      </c>
      <c r="AK10211" s="5" t="s">
        <v>3622</v>
      </c>
    </row>
    <row r="10212" spans="35:37">
      <c r="AI10212" s="468">
        <v>52584</v>
      </c>
      <c r="AJ10212" s="5" t="s">
        <v>3619</v>
      </c>
      <c r="AK10212" s="5" t="s">
        <v>3623</v>
      </c>
    </row>
    <row r="10213" spans="35:37">
      <c r="AI10213" s="468">
        <v>52585</v>
      </c>
      <c r="AJ10213" s="5" t="s">
        <v>3621</v>
      </c>
      <c r="AK10213" s="5" t="s">
        <v>3625</v>
      </c>
    </row>
    <row r="10214" spans="35:37">
      <c r="AI10214" s="468">
        <v>52586</v>
      </c>
      <c r="AJ10214" s="5" t="s">
        <v>3579</v>
      </c>
      <c r="AK10214" s="5" t="s">
        <v>3627</v>
      </c>
    </row>
    <row r="10215" spans="35:37">
      <c r="AI10215" s="468">
        <v>52587</v>
      </c>
      <c r="AJ10215" s="5" t="s">
        <v>3624</v>
      </c>
      <c r="AK10215" s="5" t="s">
        <v>3618</v>
      </c>
    </row>
    <row r="10216" spans="35:37">
      <c r="AI10216" s="468">
        <v>52588</v>
      </c>
      <c r="AJ10216" s="5" t="s">
        <v>3626</v>
      </c>
      <c r="AK10216" s="5" t="s">
        <v>3620</v>
      </c>
    </row>
    <row r="10217" spans="35:37">
      <c r="AI10217" s="468">
        <v>52589</v>
      </c>
      <c r="AJ10217" s="5" t="s">
        <v>3628</v>
      </c>
      <c r="AK10217" s="5" t="s">
        <v>3622</v>
      </c>
    </row>
    <row r="10218" spans="35:37">
      <c r="AI10218" s="468">
        <v>52590</v>
      </c>
      <c r="AJ10218" s="5" t="s">
        <v>3617</v>
      </c>
      <c r="AK10218" s="5" t="s">
        <v>3623</v>
      </c>
    </row>
    <row r="10219" spans="35:37">
      <c r="AI10219" s="468">
        <v>52591</v>
      </c>
      <c r="AJ10219" s="5" t="s">
        <v>3619</v>
      </c>
      <c r="AK10219" s="5" t="s">
        <v>3625</v>
      </c>
    </row>
    <row r="10220" spans="35:37">
      <c r="AI10220" s="468">
        <v>52592</v>
      </c>
      <c r="AJ10220" s="5" t="s">
        <v>3621</v>
      </c>
      <c r="AK10220" s="5" t="s">
        <v>3627</v>
      </c>
    </row>
    <row r="10221" spans="35:37">
      <c r="AI10221" s="468">
        <v>52593</v>
      </c>
      <c r="AJ10221" s="5" t="s">
        <v>3579</v>
      </c>
      <c r="AK10221" s="5" t="s">
        <v>3618</v>
      </c>
    </row>
    <row r="10222" spans="35:37">
      <c r="AI10222" s="468">
        <v>52594</v>
      </c>
      <c r="AJ10222" s="5" t="s">
        <v>3624</v>
      </c>
      <c r="AK10222" s="5" t="s">
        <v>3620</v>
      </c>
    </row>
    <row r="10223" spans="35:37">
      <c r="AI10223" s="468">
        <v>52595</v>
      </c>
      <c r="AJ10223" s="5" t="s">
        <v>3626</v>
      </c>
      <c r="AK10223" s="5" t="s">
        <v>3622</v>
      </c>
    </row>
    <row r="10224" spans="35:37">
      <c r="AI10224" s="468">
        <v>52596</v>
      </c>
      <c r="AJ10224" s="5" t="s">
        <v>3628</v>
      </c>
      <c r="AK10224" s="5" t="s">
        <v>3625</v>
      </c>
    </row>
    <row r="10225" spans="35:37">
      <c r="AI10225" s="468">
        <v>52597</v>
      </c>
      <c r="AJ10225" s="5" t="s">
        <v>3617</v>
      </c>
      <c r="AK10225" s="5" t="s">
        <v>3627</v>
      </c>
    </row>
    <row r="10226" spans="35:37">
      <c r="AI10226" s="468">
        <v>52598</v>
      </c>
      <c r="AJ10226" s="5" t="s">
        <v>3619</v>
      </c>
      <c r="AK10226" s="5" t="s">
        <v>3618</v>
      </c>
    </row>
    <row r="10227" spans="35:37">
      <c r="AI10227" s="468">
        <v>52599</v>
      </c>
      <c r="AJ10227" s="5" t="s">
        <v>3621</v>
      </c>
      <c r="AK10227" s="5" t="s">
        <v>3620</v>
      </c>
    </row>
    <row r="10228" spans="35:37">
      <c r="AI10228" s="468">
        <v>52600</v>
      </c>
      <c r="AJ10228" s="5" t="s">
        <v>3579</v>
      </c>
      <c r="AK10228" s="5" t="s">
        <v>3622</v>
      </c>
    </row>
    <row r="10229" spans="35:37">
      <c r="AI10229" s="468">
        <v>52601</v>
      </c>
      <c r="AJ10229" s="5" t="s">
        <v>3624</v>
      </c>
      <c r="AK10229" s="5" t="s">
        <v>3623</v>
      </c>
    </row>
    <row r="10230" spans="35:37">
      <c r="AI10230" s="468">
        <v>52602</v>
      </c>
      <c r="AJ10230" s="5" t="s">
        <v>3626</v>
      </c>
      <c r="AK10230" s="5" t="s">
        <v>3625</v>
      </c>
    </row>
    <row r="10231" spans="35:37">
      <c r="AI10231" s="468">
        <v>52603</v>
      </c>
      <c r="AJ10231" s="5" t="s">
        <v>3628</v>
      </c>
      <c r="AK10231" s="5" t="s">
        <v>3627</v>
      </c>
    </row>
    <row r="10232" spans="35:37">
      <c r="AI10232" s="468">
        <v>52604</v>
      </c>
      <c r="AJ10232" s="5" t="s">
        <v>3617</v>
      </c>
      <c r="AK10232" s="5" t="s">
        <v>3618</v>
      </c>
    </row>
    <row r="10233" spans="35:37">
      <c r="AI10233" s="468">
        <v>52605</v>
      </c>
      <c r="AJ10233" s="5" t="s">
        <v>3619</v>
      </c>
      <c r="AK10233" s="5" t="s">
        <v>3620</v>
      </c>
    </row>
    <row r="10234" spans="35:37">
      <c r="AI10234" s="468">
        <v>52606</v>
      </c>
      <c r="AJ10234" s="5" t="s">
        <v>3621</v>
      </c>
      <c r="AK10234" s="5" t="s">
        <v>3622</v>
      </c>
    </row>
    <row r="10235" spans="35:37">
      <c r="AI10235" s="468">
        <v>52607</v>
      </c>
      <c r="AJ10235" s="5" t="s">
        <v>3579</v>
      </c>
      <c r="AK10235" s="5" t="s">
        <v>3623</v>
      </c>
    </row>
    <row r="10236" spans="35:37">
      <c r="AI10236" s="468">
        <v>52608</v>
      </c>
      <c r="AJ10236" s="5" t="s">
        <v>3624</v>
      </c>
      <c r="AK10236" s="5" t="s">
        <v>3625</v>
      </c>
    </row>
    <row r="10237" spans="35:37">
      <c r="AI10237" s="468">
        <v>52609</v>
      </c>
      <c r="AJ10237" s="5" t="s">
        <v>3626</v>
      </c>
      <c r="AK10237" s="5" t="s">
        <v>3627</v>
      </c>
    </row>
    <row r="10238" spans="35:37">
      <c r="AI10238" s="468">
        <v>52610</v>
      </c>
      <c r="AJ10238" s="5" t="s">
        <v>3628</v>
      </c>
      <c r="AK10238" s="5" t="s">
        <v>3618</v>
      </c>
    </row>
    <row r="10239" spans="35:37">
      <c r="AI10239" s="468">
        <v>52611</v>
      </c>
      <c r="AJ10239" s="5" t="s">
        <v>3617</v>
      </c>
      <c r="AK10239" s="5" t="s">
        <v>3620</v>
      </c>
    </row>
    <row r="10240" spans="35:37">
      <c r="AI10240" s="468">
        <v>52612</v>
      </c>
      <c r="AJ10240" s="5" t="s">
        <v>3619</v>
      </c>
      <c r="AK10240" s="5" t="s">
        <v>3622</v>
      </c>
    </row>
    <row r="10241" spans="35:37">
      <c r="AI10241" s="468">
        <v>52613</v>
      </c>
      <c r="AJ10241" s="5" t="s">
        <v>3621</v>
      </c>
      <c r="AK10241" s="5" t="s">
        <v>3623</v>
      </c>
    </row>
    <row r="10242" spans="35:37">
      <c r="AI10242" s="468">
        <v>52614</v>
      </c>
      <c r="AJ10242" s="5" t="s">
        <v>3579</v>
      </c>
      <c r="AK10242" s="5" t="s">
        <v>3625</v>
      </c>
    </row>
    <row r="10243" spans="35:37">
      <c r="AI10243" s="468">
        <v>52615</v>
      </c>
      <c r="AJ10243" s="5" t="s">
        <v>3624</v>
      </c>
      <c r="AK10243" s="5" t="s">
        <v>3627</v>
      </c>
    </row>
    <row r="10244" spans="35:37">
      <c r="AI10244" s="468">
        <v>52616</v>
      </c>
      <c r="AJ10244" s="5" t="s">
        <v>3626</v>
      </c>
      <c r="AK10244" s="5" t="s">
        <v>3618</v>
      </c>
    </row>
    <row r="10245" spans="35:37">
      <c r="AI10245" s="468">
        <v>52617</v>
      </c>
      <c r="AJ10245" s="5" t="s">
        <v>3628</v>
      </c>
      <c r="AK10245" s="5" t="s">
        <v>3620</v>
      </c>
    </row>
    <row r="10246" spans="35:37">
      <c r="AI10246" s="468">
        <v>52618</v>
      </c>
      <c r="AJ10246" s="5" t="s">
        <v>3617</v>
      </c>
      <c r="AK10246" s="5" t="s">
        <v>3622</v>
      </c>
    </row>
    <row r="10247" spans="35:37">
      <c r="AI10247" s="468">
        <v>52619</v>
      </c>
      <c r="AJ10247" s="5" t="s">
        <v>3619</v>
      </c>
      <c r="AK10247" s="5" t="s">
        <v>3623</v>
      </c>
    </row>
    <row r="10248" spans="35:37">
      <c r="AI10248" s="468">
        <v>52620</v>
      </c>
      <c r="AJ10248" s="5" t="s">
        <v>3621</v>
      </c>
      <c r="AK10248" s="5" t="s">
        <v>3625</v>
      </c>
    </row>
    <row r="10249" spans="35:37">
      <c r="AI10249" s="468">
        <v>52621</v>
      </c>
      <c r="AJ10249" s="5" t="s">
        <v>3579</v>
      </c>
      <c r="AK10249" s="5" t="s">
        <v>3627</v>
      </c>
    </row>
    <row r="10250" spans="35:37">
      <c r="AI10250" s="468">
        <v>52622</v>
      </c>
      <c r="AJ10250" s="5" t="s">
        <v>3624</v>
      </c>
      <c r="AK10250" s="5" t="s">
        <v>3618</v>
      </c>
    </row>
    <row r="10251" spans="35:37">
      <c r="AI10251" s="468">
        <v>52623</v>
      </c>
      <c r="AJ10251" s="5" t="s">
        <v>3626</v>
      </c>
      <c r="AK10251" s="5" t="s">
        <v>3620</v>
      </c>
    </row>
    <row r="10252" spans="35:37">
      <c r="AI10252" s="468">
        <v>52624</v>
      </c>
      <c r="AJ10252" s="5" t="s">
        <v>3628</v>
      </c>
      <c r="AK10252" s="5" t="s">
        <v>3622</v>
      </c>
    </row>
    <row r="10253" spans="35:37">
      <c r="AI10253" s="468">
        <v>52625</v>
      </c>
      <c r="AJ10253" s="5" t="s">
        <v>3617</v>
      </c>
      <c r="AK10253" s="5" t="s">
        <v>3623</v>
      </c>
    </row>
    <row r="10254" spans="35:37">
      <c r="AI10254" s="468">
        <v>52626</v>
      </c>
      <c r="AJ10254" s="5" t="s">
        <v>3619</v>
      </c>
      <c r="AK10254" s="5" t="s">
        <v>3627</v>
      </c>
    </row>
    <row r="10255" spans="35:37">
      <c r="AI10255" s="468">
        <v>52627</v>
      </c>
      <c r="AJ10255" s="5" t="s">
        <v>3621</v>
      </c>
      <c r="AK10255" s="5" t="s">
        <v>3618</v>
      </c>
    </row>
    <row r="10256" spans="35:37">
      <c r="AI10256" s="468">
        <v>52628</v>
      </c>
      <c r="AJ10256" s="5" t="s">
        <v>3579</v>
      </c>
      <c r="AK10256" s="5" t="s">
        <v>3620</v>
      </c>
    </row>
    <row r="10257" spans="35:37">
      <c r="AI10257" s="468">
        <v>52629</v>
      </c>
      <c r="AJ10257" s="5" t="s">
        <v>3624</v>
      </c>
      <c r="AK10257" s="5" t="s">
        <v>3622</v>
      </c>
    </row>
    <row r="10258" spans="35:37">
      <c r="AI10258" s="468">
        <v>52630</v>
      </c>
      <c r="AJ10258" s="5" t="s">
        <v>3626</v>
      </c>
      <c r="AK10258" s="5" t="s">
        <v>3623</v>
      </c>
    </row>
    <row r="10259" spans="35:37">
      <c r="AI10259" s="468">
        <v>52631</v>
      </c>
      <c r="AJ10259" s="5" t="s">
        <v>3628</v>
      </c>
      <c r="AK10259" s="5" t="s">
        <v>3625</v>
      </c>
    </row>
    <row r="10260" spans="35:37">
      <c r="AI10260" s="468">
        <v>52632</v>
      </c>
      <c r="AJ10260" s="5" t="s">
        <v>3617</v>
      </c>
      <c r="AK10260" s="5" t="s">
        <v>3627</v>
      </c>
    </row>
    <row r="10261" spans="35:37">
      <c r="AI10261" s="468">
        <v>52633</v>
      </c>
      <c r="AJ10261" s="5" t="s">
        <v>3619</v>
      </c>
      <c r="AK10261" s="5" t="s">
        <v>3618</v>
      </c>
    </row>
    <row r="10262" spans="35:37">
      <c r="AI10262" s="468">
        <v>52634</v>
      </c>
      <c r="AJ10262" s="5" t="s">
        <v>3621</v>
      </c>
      <c r="AK10262" s="5" t="s">
        <v>3620</v>
      </c>
    </row>
    <row r="10263" spans="35:37">
      <c r="AI10263" s="468">
        <v>52635</v>
      </c>
      <c r="AJ10263" s="5" t="s">
        <v>3579</v>
      </c>
      <c r="AK10263" s="5" t="s">
        <v>3622</v>
      </c>
    </row>
    <row r="10264" spans="35:37">
      <c r="AI10264" s="468">
        <v>52636</v>
      </c>
      <c r="AJ10264" s="5" t="s">
        <v>3624</v>
      </c>
      <c r="AK10264" s="5" t="s">
        <v>3623</v>
      </c>
    </row>
    <row r="10265" spans="35:37">
      <c r="AI10265" s="468">
        <v>52637</v>
      </c>
      <c r="AJ10265" s="5" t="s">
        <v>3626</v>
      </c>
      <c r="AK10265" s="5" t="s">
        <v>3625</v>
      </c>
    </row>
    <row r="10266" spans="35:37">
      <c r="AI10266" s="468">
        <v>52638</v>
      </c>
      <c r="AJ10266" s="5" t="s">
        <v>3628</v>
      </c>
      <c r="AK10266" s="5" t="s">
        <v>3627</v>
      </c>
    </row>
    <row r="10267" spans="35:37">
      <c r="AI10267" s="468">
        <v>52639</v>
      </c>
      <c r="AJ10267" s="5" t="s">
        <v>3617</v>
      </c>
      <c r="AK10267" s="5" t="s">
        <v>3618</v>
      </c>
    </row>
    <row r="10268" spans="35:37">
      <c r="AI10268" s="468">
        <v>52640</v>
      </c>
      <c r="AJ10268" s="5" t="s">
        <v>3619</v>
      </c>
      <c r="AK10268" s="5" t="s">
        <v>3620</v>
      </c>
    </row>
    <row r="10269" spans="35:37">
      <c r="AI10269" s="468">
        <v>52641</v>
      </c>
      <c r="AJ10269" s="5" t="s">
        <v>3621</v>
      </c>
      <c r="AK10269" s="5" t="s">
        <v>3622</v>
      </c>
    </row>
    <row r="10270" spans="35:37">
      <c r="AI10270" s="468">
        <v>52642</v>
      </c>
      <c r="AJ10270" s="5" t="s">
        <v>3579</v>
      </c>
      <c r="AK10270" s="5" t="s">
        <v>3623</v>
      </c>
    </row>
    <row r="10271" spans="35:37">
      <c r="AI10271" s="468">
        <v>52643</v>
      </c>
      <c r="AJ10271" s="5" t="s">
        <v>3624</v>
      </c>
      <c r="AK10271" s="5" t="s">
        <v>3625</v>
      </c>
    </row>
    <row r="10272" spans="35:37">
      <c r="AI10272" s="468">
        <v>52644</v>
      </c>
      <c r="AJ10272" s="5" t="s">
        <v>3626</v>
      </c>
      <c r="AK10272" s="5" t="s">
        <v>3627</v>
      </c>
    </row>
    <row r="10273" spans="35:37">
      <c r="AI10273" s="468">
        <v>52645</v>
      </c>
      <c r="AJ10273" s="5" t="s">
        <v>3628</v>
      </c>
      <c r="AK10273" s="5" t="s">
        <v>3618</v>
      </c>
    </row>
    <row r="10274" spans="35:37">
      <c r="AI10274" s="468">
        <v>52646</v>
      </c>
      <c r="AJ10274" s="5" t="s">
        <v>3617</v>
      </c>
      <c r="AK10274" s="5" t="s">
        <v>3620</v>
      </c>
    </row>
    <row r="10275" spans="35:37">
      <c r="AI10275" s="468">
        <v>52647</v>
      </c>
      <c r="AJ10275" s="5" t="s">
        <v>3619</v>
      </c>
      <c r="AK10275" s="5" t="s">
        <v>3622</v>
      </c>
    </row>
    <row r="10276" spans="35:37">
      <c r="AI10276" s="468">
        <v>52648</v>
      </c>
      <c r="AJ10276" s="5" t="s">
        <v>3621</v>
      </c>
      <c r="AK10276" s="5" t="s">
        <v>3623</v>
      </c>
    </row>
    <row r="10277" spans="35:37">
      <c r="AI10277" s="468">
        <v>52649</v>
      </c>
      <c r="AJ10277" s="5" t="s">
        <v>3579</v>
      </c>
      <c r="AK10277" s="5" t="s">
        <v>3625</v>
      </c>
    </row>
    <row r="10278" spans="35:37">
      <c r="AI10278" s="468">
        <v>52650</v>
      </c>
      <c r="AJ10278" s="5" t="s">
        <v>3624</v>
      </c>
      <c r="AK10278" s="5" t="s">
        <v>3627</v>
      </c>
    </row>
    <row r="10279" spans="35:37">
      <c r="AI10279" s="468">
        <v>52651</v>
      </c>
      <c r="AJ10279" s="5" t="s">
        <v>3626</v>
      </c>
      <c r="AK10279" s="5" t="s">
        <v>3618</v>
      </c>
    </row>
    <row r="10280" spans="35:37">
      <c r="AI10280" s="468">
        <v>52652</v>
      </c>
      <c r="AJ10280" s="5" t="s">
        <v>3628</v>
      </c>
      <c r="AK10280" s="5" t="s">
        <v>3620</v>
      </c>
    </row>
    <row r="10281" spans="35:37">
      <c r="AI10281" s="468">
        <v>52653</v>
      </c>
      <c r="AJ10281" s="5" t="s">
        <v>3617</v>
      </c>
      <c r="AK10281" s="5" t="s">
        <v>3622</v>
      </c>
    </row>
    <row r="10282" spans="35:37">
      <c r="AI10282" s="468">
        <v>52654</v>
      </c>
      <c r="AJ10282" s="5" t="s">
        <v>3619</v>
      </c>
      <c r="AK10282" s="5" t="s">
        <v>3623</v>
      </c>
    </row>
    <row r="10283" spans="35:37">
      <c r="AI10283" s="468">
        <v>52655</v>
      </c>
      <c r="AJ10283" s="5" t="s">
        <v>3621</v>
      </c>
      <c r="AK10283" s="5" t="s">
        <v>3625</v>
      </c>
    </row>
    <row r="10284" spans="35:37">
      <c r="AI10284" s="468">
        <v>52656</v>
      </c>
      <c r="AJ10284" s="5" t="s">
        <v>3579</v>
      </c>
      <c r="AK10284" s="5" t="s">
        <v>3618</v>
      </c>
    </row>
    <row r="10285" spans="35:37">
      <c r="AI10285" s="468">
        <v>52657</v>
      </c>
      <c r="AJ10285" s="5" t="s">
        <v>3624</v>
      </c>
      <c r="AK10285" s="5" t="s">
        <v>3620</v>
      </c>
    </row>
    <row r="10286" spans="35:37">
      <c r="AI10286" s="468">
        <v>52658</v>
      </c>
      <c r="AJ10286" s="5" t="s">
        <v>3626</v>
      </c>
      <c r="AK10286" s="5" t="s">
        <v>3622</v>
      </c>
    </row>
    <row r="10287" spans="35:37">
      <c r="AI10287" s="468">
        <v>52659</v>
      </c>
      <c r="AJ10287" s="5" t="s">
        <v>3628</v>
      </c>
      <c r="AK10287" s="5" t="s">
        <v>3623</v>
      </c>
    </row>
    <row r="10288" spans="35:37">
      <c r="AI10288" s="468">
        <v>52660</v>
      </c>
      <c r="AJ10288" s="5" t="s">
        <v>3617</v>
      </c>
      <c r="AK10288" s="5" t="s">
        <v>3625</v>
      </c>
    </row>
    <row r="10289" spans="35:37">
      <c r="AI10289" s="468">
        <v>52661</v>
      </c>
      <c r="AJ10289" s="5" t="s">
        <v>3619</v>
      </c>
      <c r="AK10289" s="5" t="s">
        <v>3627</v>
      </c>
    </row>
    <row r="10290" spans="35:37">
      <c r="AI10290" s="468">
        <v>52662</v>
      </c>
      <c r="AJ10290" s="5" t="s">
        <v>3621</v>
      </c>
      <c r="AK10290" s="5" t="s">
        <v>3618</v>
      </c>
    </row>
    <row r="10291" spans="35:37">
      <c r="AI10291" s="468">
        <v>52663</v>
      </c>
      <c r="AJ10291" s="5" t="s">
        <v>3579</v>
      </c>
      <c r="AK10291" s="5" t="s">
        <v>3620</v>
      </c>
    </row>
    <row r="10292" spans="35:37">
      <c r="AI10292" s="468">
        <v>52664</v>
      </c>
      <c r="AJ10292" s="5" t="s">
        <v>3624</v>
      </c>
      <c r="AK10292" s="5" t="s">
        <v>3622</v>
      </c>
    </row>
    <row r="10293" spans="35:37">
      <c r="AI10293" s="468">
        <v>52665</v>
      </c>
      <c r="AJ10293" s="5" t="s">
        <v>3626</v>
      </c>
      <c r="AK10293" s="5" t="s">
        <v>3623</v>
      </c>
    </row>
    <row r="10294" spans="35:37">
      <c r="AI10294" s="468">
        <v>52666</v>
      </c>
      <c r="AJ10294" s="5" t="s">
        <v>3628</v>
      </c>
      <c r="AK10294" s="5" t="s">
        <v>3625</v>
      </c>
    </row>
    <row r="10295" spans="35:37">
      <c r="AI10295" s="468">
        <v>52667</v>
      </c>
      <c r="AJ10295" s="5" t="s">
        <v>3617</v>
      </c>
      <c r="AK10295" s="5" t="s">
        <v>3627</v>
      </c>
    </row>
    <row r="10296" spans="35:37">
      <c r="AI10296" s="468">
        <v>52668</v>
      </c>
      <c r="AJ10296" s="5" t="s">
        <v>3619</v>
      </c>
      <c r="AK10296" s="5" t="s">
        <v>3618</v>
      </c>
    </row>
    <row r="10297" spans="35:37">
      <c r="AI10297" s="468">
        <v>52669</v>
      </c>
      <c r="AJ10297" s="5" t="s">
        <v>3621</v>
      </c>
      <c r="AK10297" s="5" t="s">
        <v>3620</v>
      </c>
    </row>
    <row r="10298" spans="35:37">
      <c r="AI10298" s="468">
        <v>52670</v>
      </c>
      <c r="AJ10298" s="5" t="s">
        <v>3579</v>
      </c>
      <c r="AK10298" s="5" t="s">
        <v>3622</v>
      </c>
    </row>
    <row r="10299" spans="35:37">
      <c r="AI10299" s="468">
        <v>52671</v>
      </c>
      <c r="AJ10299" s="5" t="s">
        <v>3624</v>
      </c>
      <c r="AK10299" s="5" t="s">
        <v>3623</v>
      </c>
    </row>
    <row r="10300" spans="35:37">
      <c r="AI10300" s="468">
        <v>52672</v>
      </c>
      <c r="AJ10300" s="5" t="s">
        <v>3626</v>
      </c>
      <c r="AK10300" s="5" t="s">
        <v>3625</v>
      </c>
    </row>
    <row r="10301" spans="35:37">
      <c r="AI10301" s="468">
        <v>52673</v>
      </c>
      <c r="AJ10301" s="5" t="s">
        <v>3628</v>
      </c>
      <c r="AK10301" s="5" t="s">
        <v>3627</v>
      </c>
    </row>
    <row r="10302" spans="35:37">
      <c r="AI10302" s="468">
        <v>52674</v>
      </c>
      <c r="AJ10302" s="5" t="s">
        <v>3617</v>
      </c>
      <c r="AK10302" s="5" t="s">
        <v>3618</v>
      </c>
    </row>
    <row r="10303" spans="35:37">
      <c r="AI10303" s="468">
        <v>52675</v>
      </c>
      <c r="AJ10303" s="5" t="s">
        <v>3619</v>
      </c>
      <c r="AK10303" s="5" t="s">
        <v>3620</v>
      </c>
    </row>
    <row r="10304" spans="35:37">
      <c r="AI10304" s="468">
        <v>52676</v>
      </c>
      <c r="AJ10304" s="5" t="s">
        <v>3621</v>
      </c>
      <c r="AK10304" s="5" t="s">
        <v>3622</v>
      </c>
    </row>
    <row r="10305" spans="35:37">
      <c r="AI10305" s="468">
        <v>52677</v>
      </c>
      <c r="AJ10305" s="5" t="s">
        <v>3579</v>
      </c>
      <c r="AK10305" s="5" t="s">
        <v>3623</v>
      </c>
    </row>
    <row r="10306" spans="35:37">
      <c r="AI10306" s="468">
        <v>52678</v>
      </c>
      <c r="AJ10306" s="5" t="s">
        <v>3624</v>
      </c>
      <c r="AK10306" s="5" t="s">
        <v>3625</v>
      </c>
    </row>
    <row r="10307" spans="35:37">
      <c r="AI10307" s="468">
        <v>52679</v>
      </c>
      <c r="AJ10307" s="5" t="s">
        <v>3626</v>
      </c>
      <c r="AK10307" s="5" t="s">
        <v>3627</v>
      </c>
    </row>
    <row r="10308" spans="35:37">
      <c r="AI10308" s="468">
        <v>52680</v>
      </c>
      <c r="AJ10308" s="5" t="s">
        <v>3628</v>
      </c>
      <c r="AK10308" s="5" t="s">
        <v>3618</v>
      </c>
    </row>
    <row r="10309" spans="35:37">
      <c r="AI10309" s="468">
        <v>52681</v>
      </c>
      <c r="AJ10309" s="5" t="s">
        <v>3617</v>
      </c>
      <c r="AK10309" s="5" t="s">
        <v>3620</v>
      </c>
    </row>
    <row r="10310" spans="35:37">
      <c r="AI10310" s="468">
        <v>52682</v>
      </c>
      <c r="AJ10310" s="5" t="s">
        <v>3619</v>
      </c>
      <c r="AK10310" s="5" t="s">
        <v>3622</v>
      </c>
    </row>
    <row r="10311" spans="35:37">
      <c r="AI10311" s="468">
        <v>52683</v>
      </c>
      <c r="AJ10311" s="5" t="s">
        <v>3621</v>
      </c>
      <c r="AK10311" s="5" t="s">
        <v>3623</v>
      </c>
    </row>
    <row r="10312" spans="35:37">
      <c r="AI10312" s="468">
        <v>52684</v>
      </c>
      <c r="AJ10312" s="5" t="s">
        <v>3579</v>
      </c>
      <c r="AK10312" s="5" t="s">
        <v>3625</v>
      </c>
    </row>
    <row r="10313" spans="35:37">
      <c r="AI10313" s="468">
        <v>52685</v>
      </c>
      <c r="AJ10313" s="5" t="s">
        <v>3624</v>
      </c>
      <c r="AK10313" s="5" t="s">
        <v>3620</v>
      </c>
    </row>
    <row r="10314" spans="35:37">
      <c r="AI10314" s="468">
        <v>52686</v>
      </c>
      <c r="AJ10314" s="5" t="s">
        <v>3626</v>
      </c>
      <c r="AK10314" s="5" t="s">
        <v>3622</v>
      </c>
    </row>
    <row r="10315" spans="35:37">
      <c r="AI10315" s="468">
        <v>52687</v>
      </c>
      <c r="AJ10315" s="5" t="s">
        <v>3628</v>
      </c>
      <c r="AK10315" s="5" t="s">
        <v>3623</v>
      </c>
    </row>
    <row r="10316" spans="35:37">
      <c r="AI10316" s="468">
        <v>52688</v>
      </c>
      <c r="AJ10316" s="5" t="s">
        <v>3617</v>
      </c>
      <c r="AK10316" s="5" t="s">
        <v>3625</v>
      </c>
    </row>
    <row r="10317" spans="35:37">
      <c r="AI10317" s="468">
        <v>52689</v>
      </c>
      <c r="AJ10317" s="5" t="s">
        <v>3619</v>
      </c>
      <c r="AK10317" s="5" t="s">
        <v>3627</v>
      </c>
    </row>
    <row r="10318" spans="35:37">
      <c r="AI10318" s="468">
        <v>52690</v>
      </c>
      <c r="AJ10318" s="5" t="s">
        <v>3621</v>
      </c>
      <c r="AK10318" s="5" t="s">
        <v>3618</v>
      </c>
    </row>
    <row r="10319" spans="35:37">
      <c r="AI10319" s="468">
        <v>52691</v>
      </c>
      <c r="AJ10319" s="5" t="s">
        <v>3579</v>
      </c>
      <c r="AK10319" s="5" t="s">
        <v>3620</v>
      </c>
    </row>
    <row r="10320" spans="35:37">
      <c r="AI10320" s="468">
        <v>52692</v>
      </c>
      <c r="AJ10320" s="5" t="s">
        <v>3624</v>
      </c>
      <c r="AK10320" s="5" t="s">
        <v>3622</v>
      </c>
    </row>
    <row r="10321" spans="35:37">
      <c r="AI10321" s="468">
        <v>52693</v>
      </c>
      <c r="AJ10321" s="5" t="s">
        <v>3626</v>
      </c>
      <c r="AK10321" s="5" t="s">
        <v>3623</v>
      </c>
    </row>
    <row r="10322" spans="35:37">
      <c r="AI10322" s="468">
        <v>52694</v>
      </c>
      <c r="AJ10322" s="5" t="s">
        <v>3628</v>
      </c>
      <c r="AK10322" s="5" t="s">
        <v>3625</v>
      </c>
    </row>
    <row r="10323" spans="35:37">
      <c r="AI10323" s="468">
        <v>52695</v>
      </c>
      <c r="AJ10323" s="5" t="s">
        <v>3617</v>
      </c>
      <c r="AK10323" s="5" t="s">
        <v>3627</v>
      </c>
    </row>
    <row r="10324" spans="35:37">
      <c r="AI10324" s="468">
        <v>52696</v>
      </c>
      <c r="AJ10324" s="5" t="s">
        <v>3619</v>
      </c>
      <c r="AK10324" s="5" t="s">
        <v>3618</v>
      </c>
    </row>
    <row r="10325" spans="35:37">
      <c r="AI10325" s="468">
        <v>52697</v>
      </c>
      <c r="AJ10325" s="5" t="s">
        <v>3621</v>
      </c>
      <c r="AK10325" s="5" t="s">
        <v>3620</v>
      </c>
    </row>
    <row r="10326" spans="35:37">
      <c r="AI10326" s="468">
        <v>52698</v>
      </c>
      <c r="AJ10326" s="5" t="s">
        <v>3579</v>
      </c>
      <c r="AK10326" s="5" t="s">
        <v>3622</v>
      </c>
    </row>
    <row r="10327" spans="35:37">
      <c r="AI10327" s="468">
        <v>52699</v>
      </c>
      <c r="AJ10327" s="5" t="s">
        <v>3624</v>
      </c>
      <c r="AK10327" s="5" t="s">
        <v>3623</v>
      </c>
    </row>
    <row r="10328" spans="35:37">
      <c r="AI10328" s="468">
        <v>52700</v>
      </c>
      <c r="AJ10328" s="5" t="s">
        <v>3626</v>
      </c>
      <c r="AK10328" s="5" t="s">
        <v>3625</v>
      </c>
    </row>
    <row r="10329" spans="35:37">
      <c r="AI10329" s="468">
        <v>52701</v>
      </c>
      <c r="AJ10329" s="5" t="s">
        <v>3628</v>
      </c>
      <c r="AK10329" s="5" t="s">
        <v>3627</v>
      </c>
    </row>
    <row r="10330" spans="35:37">
      <c r="AI10330" s="468">
        <v>52702</v>
      </c>
      <c r="AJ10330" s="5" t="s">
        <v>3617</v>
      </c>
      <c r="AK10330" s="5" t="s">
        <v>3618</v>
      </c>
    </row>
    <row r="10331" spans="35:37">
      <c r="AI10331" s="468">
        <v>52703</v>
      </c>
      <c r="AJ10331" s="5" t="s">
        <v>3619</v>
      </c>
      <c r="AK10331" s="5" t="s">
        <v>3620</v>
      </c>
    </row>
    <row r="10332" spans="35:37">
      <c r="AI10332" s="468">
        <v>52704</v>
      </c>
      <c r="AJ10332" s="5" t="s">
        <v>3621</v>
      </c>
      <c r="AK10332" s="5" t="s">
        <v>3622</v>
      </c>
    </row>
    <row r="10333" spans="35:37">
      <c r="AI10333" s="468">
        <v>52705</v>
      </c>
      <c r="AJ10333" s="5" t="s">
        <v>3579</v>
      </c>
      <c r="AK10333" s="5" t="s">
        <v>3623</v>
      </c>
    </row>
    <row r="10334" spans="35:37">
      <c r="AI10334" s="468">
        <v>52706</v>
      </c>
      <c r="AJ10334" s="5" t="s">
        <v>3624</v>
      </c>
      <c r="AK10334" s="5" t="s">
        <v>3625</v>
      </c>
    </row>
    <row r="10335" spans="35:37">
      <c r="AI10335" s="468">
        <v>52707</v>
      </c>
      <c r="AJ10335" s="5" t="s">
        <v>3626</v>
      </c>
      <c r="AK10335" s="5" t="s">
        <v>3627</v>
      </c>
    </row>
    <row r="10336" spans="35:37">
      <c r="AI10336" s="468">
        <v>52708</v>
      </c>
      <c r="AJ10336" s="5" t="s">
        <v>3628</v>
      </c>
      <c r="AK10336" s="5" t="s">
        <v>3618</v>
      </c>
    </row>
    <row r="10337" spans="35:37">
      <c r="AI10337" s="468">
        <v>52709</v>
      </c>
      <c r="AJ10337" s="5" t="s">
        <v>3617</v>
      </c>
      <c r="AK10337" s="5" t="s">
        <v>3620</v>
      </c>
    </row>
    <row r="10338" spans="35:37">
      <c r="AI10338" s="468">
        <v>52710</v>
      </c>
      <c r="AJ10338" s="5" t="s">
        <v>3619</v>
      </c>
      <c r="AK10338" s="5" t="s">
        <v>3622</v>
      </c>
    </row>
    <row r="10339" spans="35:37">
      <c r="AI10339" s="468">
        <v>52711</v>
      </c>
      <c r="AJ10339" s="5" t="s">
        <v>3621</v>
      </c>
      <c r="AK10339" s="5" t="s">
        <v>3623</v>
      </c>
    </row>
    <row r="10340" spans="35:37">
      <c r="AI10340" s="468">
        <v>52712</v>
      </c>
      <c r="AJ10340" s="5" t="s">
        <v>3579</v>
      </c>
      <c r="AK10340" s="5" t="s">
        <v>3625</v>
      </c>
    </row>
    <row r="10341" spans="35:37">
      <c r="AI10341" s="468">
        <v>52713</v>
      </c>
      <c r="AJ10341" s="5" t="s">
        <v>3624</v>
      </c>
      <c r="AK10341" s="5" t="s">
        <v>3627</v>
      </c>
    </row>
    <row r="10342" spans="35:37">
      <c r="AI10342" s="468">
        <v>52714</v>
      </c>
      <c r="AJ10342" s="5" t="s">
        <v>3626</v>
      </c>
      <c r="AK10342" s="5" t="s">
        <v>3618</v>
      </c>
    </row>
    <row r="10343" spans="35:37">
      <c r="AI10343" s="468">
        <v>52715</v>
      </c>
      <c r="AJ10343" s="5" t="s">
        <v>3628</v>
      </c>
      <c r="AK10343" s="5" t="s">
        <v>3622</v>
      </c>
    </row>
    <row r="10344" spans="35:37">
      <c r="AI10344" s="468">
        <v>52716</v>
      </c>
      <c r="AJ10344" s="5" t="s">
        <v>3617</v>
      </c>
      <c r="AK10344" s="5" t="s">
        <v>3623</v>
      </c>
    </row>
    <row r="10345" spans="35:37">
      <c r="AI10345" s="468">
        <v>52717</v>
      </c>
      <c r="AJ10345" s="5" t="s">
        <v>3619</v>
      </c>
      <c r="AK10345" s="5" t="s">
        <v>3625</v>
      </c>
    </row>
    <row r="10346" spans="35:37">
      <c r="AI10346" s="468">
        <v>52718</v>
      </c>
      <c r="AJ10346" s="5" t="s">
        <v>3621</v>
      </c>
      <c r="AK10346" s="5" t="s">
        <v>3627</v>
      </c>
    </row>
    <row r="10347" spans="35:37">
      <c r="AI10347" s="468">
        <v>52719</v>
      </c>
      <c r="AJ10347" s="5" t="s">
        <v>3579</v>
      </c>
      <c r="AK10347" s="5" t="s">
        <v>3618</v>
      </c>
    </row>
    <row r="10348" spans="35:37">
      <c r="AI10348" s="468">
        <v>52720</v>
      </c>
      <c r="AJ10348" s="5" t="s">
        <v>3624</v>
      </c>
      <c r="AK10348" s="5" t="s">
        <v>3620</v>
      </c>
    </row>
    <row r="10349" spans="35:37">
      <c r="AI10349" s="468">
        <v>52721</v>
      </c>
      <c r="AJ10349" s="5" t="s">
        <v>3626</v>
      </c>
      <c r="AK10349" s="5" t="s">
        <v>3622</v>
      </c>
    </row>
    <row r="10350" spans="35:37">
      <c r="AI10350" s="468">
        <v>52722</v>
      </c>
      <c r="AJ10350" s="5" t="s">
        <v>3628</v>
      </c>
      <c r="AK10350" s="5" t="s">
        <v>3623</v>
      </c>
    </row>
    <row r="10351" spans="35:37">
      <c r="AI10351" s="468">
        <v>52723</v>
      </c>
      <c r="AJ10351" s="5" t="s">
        <v>3617</v>
      </c>
      <c r="AK10351" s="5" t="s">
        <v>3625</v>
      </c>
    </row>
    <row r="10352" spans="35:37">
      <c r="AI10352" s="468">
        <v>52724</v>
      </c>
      <c r="AJ10352" s="5" t="s">
        <v>3619</v>
      </c>
      <c r="AK10352" s="5" t="s">
        <v>3627</v>
      </c>
    </row>
    <row r="10353" spans="35:37">
      <c r="AI10353" s="468">
        <v>52725</v>
      </c>
      <c r="AJ10353" s="5" t="s">
        <v>3621</v>
      </c>
      <c r="AK10353" s="5" t="s">
        <v>3618</v>
      </c>
    </row>
    <row r="10354" spans="35:37">
      <c r="AI10354" s="468">
        <v>52726</v>
      </c>
      <c r="AJ10354" s="5" t="s">
        <v>3579</v>
      </c>
      <c r="AK10354" s="5" t="s">
        <v>3620</v>
      </c>
    </row>
    <row r="10355" spans="35:37">
      <c r="AI10355" s="468">
        <v>52727</v>
      </c>
      <c r="AJ10355" s="5" t="s">
        <v>3624</v>
      </c>
      <c r="AK10355" s="5" t="s">
        <v>3622</v>
      </c>
    </row>
    <row r="10356" spans="35:37">
      <c r="AI10356" s="468">
        <v>52728</v>
      </c>
      <c r="AJ10356" s="5" t="s">
        <v>3626</v>
      </c>
      <c r="AK10356" s="5" t="s">
        <v>3623</v>
      </c>
    </row>
    <row r="10357" spans="35:37">
      <c r="AI10357" s="468">
        <v>52729</v>
      </c>
      <c r="AJ10357" s="5" t="s">
        <v>3628</v>
      </c>
      <c r="AK10357" s="5" t="s">
        <v>3625</v>
      </c>
    </row>
    <row r="10358" spans="35:37">
      <c r="AI10358" s="468">
        <v>52730</v>
      </c>
      <c r="AJ10358" s="5" t="s">
        <v>3617</v>
      </c>
      <c r="AK10358" s="5" t="s">
        <v>3627</v>
      </c>
    </row>
    <row r="10359" spans="35:37">
      <c r="AI10359" s="468">
        <v>52731</v>
      </c>
      <c r="AJ10359" s="5" t="s">
        <v>3619</v>
      </c>
      <c r="AK10359" s="5" t="s">
        <v>3618</v>
      </c>
    </row>
    <row r="10360" spans="35:37">
      <c r="AI10360" s="468">
        <v>52732</v>
      </c>
      <c r="AJ10360" s="5" t="s">
        <v>3621</v>
      </c>
      <c r="AK10360" s="5" t="s">
        <v>3620</v>
      </c>
    </row>
    <row r="10361" spans="35:37">
      <c r="AI10361" s="468">
        <v>52733</v>
      </c>
      <c r="AJ10361" s="5" t="s">
        <v>3579</v>
      </c>
      <c r="AK10361" s="5" t="s">
        <v>3622</v>
      </c>
    </row>
    <row r="10362" spans="35:37">
      <c r="AI10362" s="468">
        <v>52734</v>
      </c>
      <c r="AJ10362" s="5" t="s">
        <v>3624</v>
      </c>
      <c r="AK10362" s="5" t="s">
        <v>3623</v>
      </c>
    </row>
    <row r="10363" spans="35:37">
      <c r="AI10363" s="468">
        <v>52735</v>
      </c>
      <c r="AJ10363" s="5" t="s">
        <v>3626</v>
      </c>
      <c r="AK10363" s="5" t="s">
        <v>3625</v>
      </c>
    </row>
    <row r="10364" spans="35:37">
      <c r="AI10364" s="468">
        <v>52736</v>
      </c>
      <c r="AJ10364" s="5" t="s">
        <v>3628</v>
      </c>
      <c r="AK10364" s="5" t="s">
        <v>3627</v>
      </c>
    </row>
    <row r="10365" spans="35:37">
      <c r="AI10365" s="468">
        <v>52737</v>
      </c>
      <c r="AJ10365" s="5" t="s">
        <v>3617</v>
      </c>
      <c r="AK10365" s="5" t="s">
        <v>3618</v>
      </c>
    </row>
    <row r="10366" spans="35:37">
      <c r="AI10366" s="468">
        <v>52738</v>
      </c>
      <c r="AJ10366" s="5" t="s">
        <v>3619</v>
      </c>
      <c r="AK10366" s="5" t="s">
        <v>3620</v>
      </c>
    </row>
    <row r="10367" spans="35:37">
      <c r="AI10367" s="468">
        <v>52739</v>
      </c>
      <c r="AJ10367" s="5" t="s">
        <v>3621</v>
      </c>
      <c r="AK10367" s="5" t="s">
        <v>3622</v>
      </c>
    </row>
    <row r="10368" spans="35:37">
      <c r="AI10368" s="468">
        <v>52740</v>
      </c>
      <c r="AJ10368" s="5" t="s">
        <v>3579</v>
      </c>
      <c r="AK10368" s="5" t="s">
        <v>3623</v>
      </c>
    </row>
    <row r="10369" spans="35:37">
      <c r="AI10369" s="468">
        <v>52741</v>
      </c>
      <c r="AJ10369" s="5" t="s">
        <v>3624</v>
      </c>
      <c r="AK10369" s="5" t="s">
        <v>3625</v>
      </c>
    </row>
    <row r="10370" spans="35:37">
      <c r="AI10370" s="468">
        <v>52742</v>
      </c>
      <c r="AJ10370" s="5" t="s">
        <v>3626</v>
      </c>
      <c r="AK10370" s="5" t="s">
        <v>3627</v>
      </c>
    </row>
    <row r="10371" spans="35:37">
      <c r="AI10371" s="468">
        <v>52743</v>
      </c>
      <c r="AJ10371" s="5" t="s">
        <v>3628</v>
      </c>
      <c r="AK10371" s="5" t="s">
        <v>3618</v>
      </c>
    </row>
    <row r="10372" spans="35:37">
      <c r="AI10372" s="468">
        <v>52744</v>
      </c>
      <c r="AJ10372" s="5" t="s">
        <v>3617</v>
      </c>
      <c r="AK10372" s="5" t="s">
        <v>3623</v>
      </c>
    </row>
    <row r="10373" spans="35:37">
      <c r="AI10373" s="468">
        <v>52745</v>
      </c>
      <c r="AJ10373" s="5" t="s">
        <v>3619</v>
      </c>
      <c r="AK10373" s="5" t="s">
        <v>3625</v>
      </c>
    </row>
    <row r="10374" spans="35:37">
      <c r="AI10374" s="468">
        <v>52746</v>
      </c>
      <c r="AJ10374" s="5" t="s">
        <v>3621</v>
      </c>
      <c r="AK10374" s="5" t="s">
        <v>3627</v>
      </c>
    </row>
    <row r="10375" spans="35:37">
      <c r="AI10375" s="468">
        <v>52747</v>
      </c>
      <c r="AJ10375" s="5" t="s">
        <v>3579</v>
      </c>
      <c r="AK10375" s="5" t="s">
        <v>3618</v>
      </c>
    </row>
    <row r="10376" spans="35:37">
      <c r="AI10376" s="468">
        <v>52748</v>
      </c>
      <c r="AJ10376" s="5" t="s">
        <v>3624</v>
      </c>
      <c r="AK10376" s="5" t="s">
        <v>3620</v>
      </c>
    </row>
    <row r="10377" spans="35:37">
      <c r="AI10377" s="468">
        <v>52749</v>
      </c>
      <c r="AJ10377" s="5" t="s">
        <v>3626</v>
      </c>
      <c r="AK10377" s="5" t="s">
        <v>3622</v>
      </c>
    </row>
    <row r="10378" spans="35:37">
      <c r="AI10378" s="468">
        <v>52750</v>
      </c>
      <c r="AJ10378" s="5" t="s">
        <v>3628</v>
      </c>
      <c r="AK10378" s="5" t="s">
        <v>3623</v>
      </c>
    </row>
    <row r="10379" spans="35:37">
      <c r="AI10379" s="468">
        <v>52751</v>
      </c>
      <c r="AJ10379" s="5" t="s">
        <v>3617</v>
      </c>
      <c r="AK10379" s="5" t="s">
        <v>3625</v>
      </c>
    </row>
    <row r="10380" spans="35:37">
      <c r="AI10380" s="468">
        <v>52752</v>
      </c>
      <c r="AJ10380" s="5" t="s">
        <v>3619</v>
      </c>
      <c r="AK10380" s="5" t="s">
        <v>3627</v>
      </c>
    </row>
    <row r="10381" spans="35:37">
      <c r="AI10381" s="468">
        <v>52753</v>
      </c>
      <c r="AJ10381" s="5" t="s">
        <v>3621</v>
      </c>
      <c r="AK10381" s="5" t="s">
        <v>3618</v>
      </c>
    </row>
    <row r="10382" spans="35:37">
      <c r="AI10382" s="468">
        <v>52754</v>
      </c>
      <c r="AJ10382" s="5" t="s">
        <v>3579</v>
      </c>
      <c r="AK10382" s="5" t="s">
        <v>3620</v>
      </c>
    </row>
    <row r="10383" spans="35:37">
      <c r="AI10383" s="468">
        <v>52755</v>
      </c>
      <c r="AJ10383" s="5" t="s">
        <v>3624</v>
      </c>
      <c r="AK10383" s="5" t="s">
        <v>3622</v>
      </c>
    </row>
    <row r="10384" spans="35:37">
      <c r="AI10384" s="468">
        <v>52756</v>
      </c>
      <c r="AJ10384" s="5" t="s">
        <v>3626</v>
      </c>
      <c r="AK10384" s="5" t="s">
        <v>3623</v>
      </c>
    </row>
    <row r="10385" spans="35:37">
      <c r="AI10385" s="468">
        <v>52757</v>
      </c>
      <c r="AJ10385" s="5" t="s">
        <v>3628</v>
      </c>
      <c r="AK10385" s="5" t="s">
        <v>3625</v>
      </c>
    </row>
    <row r="10386" spans="35:37">
      <c r="AI10386" s="468">
        <v>52758</v>
      </c>
      <c r="AJ10386" s="5" t="s">
        <v>3617</v>
      </c>
      <c r="AK10386" s="5" t="s">
        <v>3627</v>
      </c>
    </row>
    <row r="10387" spans="35:37">
      <c r="AI10387" s="468">
        <v>52759</v>
      </c>
      <c r="AJ10387" s="5" t="s">
        <v>3619</v>
      </c>
      <c r="AK10387" s="5" t="s">
        <v>3618</v>
      </c>
    </row>
    <row r="10388" spans="35:37">
      <c r="AI10388" s="468">
        <v>52760</v>
      </c>
      <c r="AJ10388" s="5" t="s">
        <v>3621</v>
      </c>
      <c r="AK10388" s="5" t="s">
        <v>3620</v>
      </c>
    </row>
    <row r="10389" spans="35:37">
      <c r="AI10389" s="468">
        <v>52761</v>
      </c>
      <c r="AJ10389" s="5" t="s">
        <v>3579</v>
      </c>
      <c r="AK10389" s="5" t="s">
        <v>3622</v>
      </c>
    </row>
    <row r="10390" spans="35:37">
      <c r="AI10390" s="468">
        <v>52762</v>
      </c>
      <c r="AJ10390" s="5" t="s">
        <v>3624</v>
      </c>
      <c r="AK10390" s="5" t="s">
        <v>3623</v>
      </c>
    </row>
    <row r="10391" spans="35:37">
      <c r="AI10391" s="468">
        <v>52763</v>
      </c>
      <c r="AJ10391" s="5" t="s">
        <v>3626</v>
      </c>
      <c r="AK10391" s="5" t="s">
        <v>3625</v>
      </c>
    </row>
    <row r="10392" spans="35:37">
      <c r="AI10392" s="468">
        <v>52764</v>
      </c>
      <c r="AJ10392" s="5" t="s">
        <v>3628</v>
      </c>
      <c r="AK10392" s="5" t="s">
        <v>3627</v>
      </c>
    </row>
    <row r="10393" spans="35:37">
      <c r="AI10393" s="468">
        <v>52765</v>
      </c>
      <c r="AJ10393" s="5" t="s">
        <v>3617</v>
      </c>
      <c r="AK10393" s="5" t="s">
        <v>3618</v>
      </c>
    </row>
    <row r="10394" spans="35:37">
      <c r="AI10394" s="468">
        <v>52766</v>
      </c>
      <c r="AJ10394" s="5" t="s">
        <v>3619</v>
      </c>
      <c r="AK10394" s="5" t="s">
        <v>3620</v>
      </c>
    </row>
    <row r="10395" spans="35:37">
      <c r="AI10395" s="468">
        <v>52767</v>
      </c>
      <c r="AJ10395" s="5" t="s">
        <v>3621</v>
      </c>
      <c r="AK10395" s="5" t="s">
        <v>3622</v>
      </c>
    </row>
    <row r="10396" spans="35:37">
      <c r="AI10396" s="468">
        <v>52768</v>
      </c>
      <c r="AJ10396" s="5" t="s">
        <v>3579</v>
      </c>
      <c r="AK10396" s="5" t="s">
        <v>3623</v>
      </c>
    </row>
    <row r="10397" spans="35:37">
      <c r="AI10397" s="468">
        <v>52769</v>
      </c>
      <c r="AJ10397" s="5" t="s">
        <v>3624</v>
      </c>
      <c r="AK10397" s="5" t="s">
        <v>3625</v>
      </c>
    </row>
    <row r="10398" spans="35:37">
      <c r="AI10398" s="468">
        <v>52770</v>
      </c>
      <c r="AJ10398" s="5" t="s">
        <v>3626</v>
      </c>
      <c r="AK10398" s="5" t="s">
        <v>3627</v>
      </c>
    </row>
    <row r="10399" spans="35:37">
      <c r="AI10399" s="468">
        <v>52771</v>
      </c>
      <c r="AJ10399" s="5" t="s">
        <v>3628</v>
      </c>
      <c r="AK10399" s="5" t="s">
        <v>3618</v>
      </c>
    </row>
    <row r="10400" spans="35:37">
      <c r="AI10400" s="468">
        <v>52772</v>
      </c>
      <c r="AJ10400" s="5" t="s">
        <v>3617</v>
      </c>
      <c r="AK10400" s="5" t="s">
        <v>3620</v>
      </c>
    </row>
    <row r="10401" spans="35:37">
      <c r="AI10401" s="468">
        <v>52773</v>
      </c>
      <c r="AJ10401" s="5" t="s">
        <v>3619</v>
      </c>
      <c r="AK10401" s="5" t="s">
        <v>3625</v>
      </c>
    </row>
    <row r="10402" spans="35:37">
      <c r="AI10402" s="468">
        <v>52774</v>
      </c>
      <c r="AJ10402" s="5" t="s">
        <v>3621</v>
      </c>
      <c r="AK10402" s="5" t="s">
        <v>3627</v>
      </c>
    </row>
    <row r="10403" spans="35:37">
      <c r="AI10403" s="468">
        <v>52775</v>
      </c>
      <c r="AJ10403" s="5" t="s">
        <v>3579</v>
      </c>
      <c r="AK10403" s="5" t="s">
        <v>3618</v>
      </c>
    </row>
    <row r="10404" spans="35:37">
      <c r="AI10404" s="468">
        <v>52776</v>
      </c>
      <c r="AJ10404" s="5" t="s">
        <v>3624</v>
      </c>
      <c r="AK10404" s="5" t="s">
        <v>3620</v>
      </c>
    </row>
    <row r="10405" spans="35:37">
      <c r="AI10405" s="468">
        <v>52777</v>
      </c>
      <c r="AJ10405" s="5" t="s">
        <v>3626</v>
      </c>
      <c r="AK10405" s="5" t="s">
        <v>3622</v>
      </c>
    </row>
    <row r="10406" spans="35:37">
      <c r="AI10406" s="468">
        <v>52778</v>
      </c>
      <c r="AJ10406" s="5" t="s">
        <v>3628</v>
      </c>
      <c r="AK10406" s="5" t="s">
        <v>3623</v>
      </c>
    </row>
    <row r="10407" spans="35:37">
      <c r="AI10407" s="468">
        <v>52779</v>
      </c>
      <c r="AJ10407" s="5" t="s">
        <v>3617</v>
      </c>
      <c r="AK10407" s="5" t="s">
        <v>3625</v>
      </c>
    </row>
    <row r="10408" spans="35:37">
      <c r="AI10408" s="468">
        <v>52780</v>
      </c>
      <c r="AJ10408" s="5" t="s">
        <v>3619</v>
      </c>
      <c r="AK10408" s="5" t="s">
        <v>3627</v>
      </c>
    </row>
    <row r="10409" spans="35:37">
      <c r="AI10409" s="468">
        <v>52781</v>
      </c>
      <c r="AJ10409" s="5" t="s">
        <v>3621</v>
      </c>
      <c r="AK10409" s="5" t="s">
        <v>3618</v>
      </c>
    </row>
    <row r="10410" spans="35:37">
      <c r="AI10410" s="468">
        <v>52782</v>
      </c>
      <c r="AJ10410" s="5" t="s">
        <v>3579</v>
      </c>
      <c r="AK10410" s="5" t="s">
        <v>3620</v>
      </c>
    </row>
    <row r="10411" spans="35:37">
      <c r="AI10411" s="468">
        <v>52783</v>
      </c>
      <c r="AJ10411" s="5" t="s">
        <v>3624</v>
      </c>
      <c r="AK10411" s="5" t="s">
        <v>3622</v>
      </c>
    </row>
    <row r="10412" spans="35:37">
      <c r="AI10412" s="468">
        <v>52784</v>
      </c>
      <c r="AJ10412" s="5" t="s">
        <v>3626</v>
      </c>
      <c r="AK10412" s="5" t="s">
        <v>3623</v>
      </c>
    </row>
    <row r="10413" spans="35:37">
      <c r="AI10413" s="468">
        <v>52785</v>
      </c>
      <c r="AJ10413" s="5" t="s">
        <v>3628</v>
      </c>
      <c r="AK10413" s="5" t="s">
        <v>3625</v>
      </c>
    </row>
    <row r="10414" spans="35:37">
      <c r="AI10414" s="468">
        <v>52786</v>
      </c>
      <c r="AJ10414" s="5" t="s">
        <v>3617</v>
      </c>
      <c r="AK10414" s="5" t="s">
        <v>3627</v>
      </c>
    </row>
    <row r="10415" spans="35:37">
      <c r="AI10415" s="468">
        <v>52787</v>
      </c>
      <c r="AJ10415" s="5" t="s">
        <v>3619</v>
      </c>
      <c r="AK10415" s="5" t="s">
        <v>3618</v>
      </c>
    </row>
    <row r="10416" spans="35:37">
      <c r="AI10416" s="468">
        <v>52788</v>
      </c>
      <c r="AJ10416" s="5" t="s">
        <v>3621</v>
      </c>
      <c r="AK10416" s="5" t="s">
        <v>3620</v>
      </c>
    </row>
    <row r="10417" spans="35:37">
      <c r="AI10417" s="468">
        <v>52789</v>
      </c>
      <c r="AJ10417" s="5" t="s">
        <v>3579</v>
      </c>
      <c r="AK10417" s="5" t="s">
        <v>3622</v>
      </c>
    </row>
    <row r="10418" spans="35:37">
      <c r="AI10418" s="468">
        <v>52790</v>
      </c>
      <c r="AJ10418" s="5" t="s">
        <v>3624</v>
      </c>
      <c r="AK10418" s="5" t="s">
        <v>3623</v>
      </c>
    </row>
    <row r="10419" spans="35:37">
      <c r="AI10419" s="468">
        <v>52791</v>
      </c>
      <c r="AJ10419" s="5" t="s">
        <v>3626</v>
      </c>
      <c r="AK10419" s="5" t="s">
        <v>3625</v>
      </c>
    </row>
    <row r="10420" spans="35:37">
      <c r="AI10420" s="468">
        <v>52792</v>
      </c>
      <c r="AJ10420" s="5" t="s">
        <v>3628</v>
      </c>
      <c r="AK10420" s="5" t="s">
        <v>3627</v>
      </c>
    </row>
    <row r="10421" spans="35:37">
      <c r="AI10421" s="468">
        <v>52793</v>
      </c>
      <c r="AJ10421" s="5" t="s">
        <v>3617</v>
      </c>
      <c r="AK10421" s="5" t="s">
        <v>3618</v>
      </c>
    </row>
    <row r="10422" spans="35:37">
      <c r="AI10422" s="468">
        <v>52794</v>
      </c>
      <c r="AJ10422" s="5" t="s">
        <v>3619</v>
      </c>
      <c r="AK10422" s="5" t="s">
        <v>3620</v>
      </c>
    </row>
    <row r="10423" spans="35:37">
      <c r="AI10423" s="468">
        <v>52795</v>
      </c>
      <c r="AJ10423" s="5" t="s">
        <v>3621</v>
      </c>
      <c r="AK10423" s="5" t="s">
        <v>3622</v>
      </c>
    </row>
    <row r="10424" spans="35:37">
      <c r="AI10424" s="468">
        <v>52796</v>
      </c>
      <c r="AJ10424" s="5" t="s">
        <v>3579</v>
      </c>
      <c r="AK10424" s="5" t="s">
        <v>3623</v>
      </c>
    </row>
    <row r="10425" spans="35:37">
      <c r="AI10425" s="468">
        <v>52797</v>
      </c>
      <c r="AJ10425" s="5" t="s">
        <v>3624</v>
      </c>
      <c r="AK10425" s="5" t="s">
        <v>3625</v>
      </c>
    </row>
    <row r="10426" spans="35:37">
      <c r="AI10426" s="468">
        <v>52798</v>
      </c>
      <c r="AJ10426" s="5" t="s">
        <v>3626</v>
      </c>
      <c r="AK10426" s="5" t="s">
        <v>3627</v>
      </c>
    </row>
    <row r="10427" spans="35:37">
      <c r="AI10427" s="468">
        <v>52799</v>
      </c>
      <c r="AJ10427" s="5" t="s">
        <v>3628</v>
      </c>
      <c r="AK10427" s="5" t="s">
        <v>3618</v>
      </c>
    </row>
    <row r="10428" spans="35:37">
      <c r="AI10428" s="468">
        <v>52800</v>
      </c>
      <c r="AJ10428" s="5" t="s">
        <v>3617</v>
      </c>
      <c r="AK10428" s="5" t="s">
        <v>3620</v>
      </c>
    </row>
    <row r="10429" spans="35:37">
      <c r="AI10429" s="468">
        <v>52801</v>
      </c>
      <c r="AJ10429" s="5" t="s">
        <v>3619</v>
      </c>
      <c r="AK10429" s="5" t="s">
        <v>3622</v>
      </c>
    </row>
    <row r="10430" spans="35:37">
      <c r="AI10430" s="468">
        <v>52802</v>
      </c>
      <c r="AJ10430" s="5" t="s">
        <v>3621</v>
      </c>
      <c r="AK10430" s="5" t="s">
        <v>3623</v>
      </c>
    </row>
    <row r="10431" spans="35:37">
      <c r="AI10431" s="468">
        <v>52803</v>
      </c>
      <c r="AJ10431" s="5" t="s">
        <v>3579</v>
      </c>
      <c r="AK10431" s="5" t="s">
        <v>3627</v>
      </c>
    </row>
    <row r="10432" spans="35:37">
      <c r="AI10432" s="468">
        <v>52804</v>
      </c>
      <c r="AJ10432" s="5" t="s">
        <v>3624</v>
      </c>
      <c r="AK10432" s="5" t="s">
        <v>3618</v>
      </c>
    </row>
    <row r="10433" spans="35:37">
      <c r="AI10433" s="468">
        <v>52805</v>
      </c>
      <c r="AJ10433" s="5" t="s">
        <v>3626</v>
      </c>
      <c r="AK10433" s="5" t="s">
        <v>3620</v>
      </c>
    </row>
    <row r="10434" spans="35:37">
      <c r="AI10434" s="468">
        <v>52806</v>
      </c>
      <c r="AJ10434" s="5" t="s">
        <v>3628</v>
      </c>
      <c r="AK10434" s="5" t="s">
        <v>3622</v>
      </c>
    </row>
    <row r="10435" spans="35:37">
      <c r="AI10435" s="468">
        <v>52807</v>
      </c>
      <c r="AJ10435" s="5" t="s">
        <v>3617</v>
      </c>
      <c r="AK10435" s="5" t="s">
        <v>3623</v>
      </c>
    </row>
    <row r="10436" spans="35:37">
      <c r="AI10436" s="468">
        <v>52808</v>
      </c>
      <c r="AJ10436" s="5" t="s">
        <v>3619</v>
      </c>
      <c r="AK10436" s="5" t="s">
        <v>3625</v>
      </c>
    </row>
    <row r="10437" spans="35:37">
      <c r="AI10437" s="468">
        <v>52809</v>
      </c>
      <c r="AJ10437" s="5" t="s">
        <v>3621</v>
      </c>
      <c r="AK10437" s="5" t="s">
        <v>3627</v>
      </c>
    </row>
    <row r="10438" spans="35:37">
      <c r="AI10438" s="468">
        <v>52810</v>
      </c>
      <c r="AJ10438" s="5" t="s">
        <v>3579</v>
      </c>
      <c r="AK10438" s="5" t="s">
        <v>3618</v>
      </c>
    </row>
    <row r="10439" spans="35:37">
      <c r="AI10439" s="468">
        <v>52811</v>
      </c>
      <c r="AJ10439" s="5" t="s">
        <v>3624</v>
      </c>
      <c r="AK10439" s="5" t="s">
        <v>3620</v>
      </c>
    </row>
    <row r="10440" spans="35:37">
      <c r="AI10440" s="468">
        <v>52812</v>
      </c>
      <c r="AJ10440" s="5" t="s">
        <v>3626</v>
      </c>
      <c r="AK10440" s="5" t="s">
        <v>3622</v>
      </c>
    </row>
    <row r="10441" spans="35:37">
      <c r="AI10441" s="468">
        <v>52813</v>
      </c>
      <c r="AJ10441" s="5" t="s">
        <v>3628</v>
      </c>
      <c r="AK10441" s="5" t="s">
        <v>3623</v>
      </c>
    </row>
    <row r="10442" spans="35:37">
      <c r="AI10442" s="468">
        <v>52814</v>
      </c>
      <c r="AJ10442" s="5" t="s">
        <v>3617</v>
      </c>
      <c r="AK10442" s="5" t="s">
        <v>3625</v>
      </c>
    </row>
    <row r="10443" spans="35:37">
      <c r="AI10443" s="468">
        <v>52815</v>
      </c>
      <c r="AJ10443" s="5" t="s">
        <v>3619</v>
      </c>
      <c r="AK10443" s="5" t="s">
        <v>3627</v>
      </c>
    </row>
    <row r="10444" spans="35:37">
      <c r="AI10444" s="468">
        <v>52816</v>
      </c>
      <c r="AJ10444" s="5" t="s">
        <v>3621</v>
      </c>
      <c r="AK10444" s="5" t="s">
        <v>3618</v>
      </c>
    </row>
    <row r="10445" spans="35:37">
      <c r="AI10445" s="468">
        <v>52817</v>
      </c>
      <c r="AJ10445" s="5" t="s">
        <v>3579</v>
      </c>
      <c r="AK10445" s="5" t="s">
        <v>3620</v>
      </c>
    </row>
    <row r="10446" spans="35:37">
      <c r="AI10446" s="468">
        <v>52818</v>
      </c>
      <c r="AJ10446" s="5" t="s">
        <v>3624</v>
      </c>
      <c r="AK10446" s="5" t="s">
        <v>3622</v>
      </c>
    </row>
    <row r="10447" spans="35:37">
      <c r="AI10447" s="468">
        <v>52819</v>
      </c>
      <c r="AJ10447" s="5" t="s">
        <v>3626</v>
      </c>
      <c r="AK10447" s="5" t="s">
        <v>3623</v>
      </c>
    </row>
    <row r="10448" spans="35:37">
      <c r="AI10448" s="468">
        <v>52820</v>
      </c>
      <c r="AJ10448" s="5" t="s">
        <v>3628</v>
      </c>
      <c r="AK10448" s="5" t="s">
        <v>3625</v>
      </c>
    </row>
    <row r="10449" spans="35:37">
      <c r="AI10449" s="468">
        <v>52821</v>
      </c>
      <c r="AJ10449" s="5" t="s">
        <v>3617</v>
      </c>
      <c r="AK10449" s="5" t="s">
        <v>3627</v>
      </c>
    </row>
    <row r="10450" spans="35:37">
      <c r="AI10450" s="468">
        <v>52822</v>
      </c>
      <c r="AJ10450" s="5" t="s">
        <v>3619</v>
      </c>
      <c r="AK10450" s="5" t="s">
        <v>3618</v>
      </c>
    </row>
    <row r="10451" spans="35:37">
      <c r="AI10451" s="468">
        <v>52823</v>
      </c>
      <c r="AJ10451" s="5" t="s">
        <v>3621</v>
      </c>
      <c r="AK10451" s="5" t="s">
        <v>3620</v>
      </c>
    </row>
    <row r="10452" spans="35:37">
      <c r="AI10452" s="468">
        <v>52824</v>
      </c>
      <c r="AJ10452" s="5" t="s">
        <v>3579</v>
      </c>
      <c r="AK10452" s="5" t="s">
        <v>3622</v>
      </c>
    </row>
    <row r="10453" spans="35:37">
      <c r="AI10453" s="468">
        <v>52825</v>
      </c>
      <c r="AJ10453" s="5" t="s">
        <v>3624</v>
      </c>
      <c r="AK10453" s="5" t="s">
        <v>3623</v>
      </c>
    </row>
    <row r="10454" spans="35:37">
      <c r="AI10454" s="468">
        <v>52826</v>
      </c>
      <c r="AJ10454" s="5" t="s">
        <v>3626</v>
      </c>
      <c r="AK10454" s="5" t="s">
        <v>3625</v>
      </c>
    </row>
    <row r="10455" spans="35:37">
      <c r="AI10455" s="468">
        <v>52827</v>
      </c>
      <c r="AJ10455" s="5" t="s">
        <v>3628</v>
      </c>
      <c r="AK10455" s="5" t="s">
        <v>3627</v>
      </c>
    </row>
    <row r="10456" spans="35:37">
      <c r="AI10456" s="468">
        <v>52828</v>
      </c>
      <c r="AJ10456" s="5" t="s">
        <v>3617</v>
      </c>
      <c r="AK10456" s="5" t="s">
        <v>3618</v>
      </c>
    </row>
    <row r="10457" spans="35:37">
      <c r="AI10457" s="468">
        <v>52829</v>
      </c>
      <c r="AJ10457" s="5" t="s">
        <v>3619</v>
      </c>
      <c r="AK10457" s="5" t="s">
        <v>3620</v>
      </c>
    </row>
    <row r="10458" spans="35:37">
      <c r="AI10458" s="468">
        <v>52830</v>
      </c>
      <c r="AJ10458" s="5" t="s">
        <v>3621</v>
      </c>
      <c r="AK10458" s="5" t="s">
        <v>3622</v>
      </c>
    </row>
    <row r="10459" spans="35:37">
      <c r="AI10459" s="468">
        <v>52831</v>
      </c>
      <c r="AJ10459" s="5" t="s">
        <v>3579</v>
      </c>
      <c r="AK10459" s="5" t="s">
        <v>3623</v>
      </c>
    </row>
    <row r="10460" spans="35:37">
      <c r="AI10460" s="468">
        <v>52832</v>
      </c>
      <c r="AJ10460" s="5" t="s">
        <v>3624</v>
      </c>
      <c r="AK10460" s="5" t="s">
        <v>3627</v>
      </c>
    </row>
    <row r="10461" spans="35:37">
      <c r="AI10461" s="468">
        <v>52833</v>
      </c>
      <c r="AJ10461" s="5" t="s">
        <v>3626</v>
      </c>
      <c r="AK10461" s="5" t="s">
        <v>3618</v>
      </c>
    </row>
    <row r="10462" spans="35:37">
      <c r="AI10462" s="468">
        <v>52834</v>
      </c>
      <c r="AJ10462" s="5" t="s">
        <v>3628</v>
      </c>
      <c r="AK10462" s="5" t="s">
        <v>3620</v>
      </c>
    </row>
    <row r="10463" spans="35:37">
      <c r="AI10463" s="468">
        <v>52835</v>
      </c>
      <c r="AJ10463" s="5" t="s">
        <v>3617</v>
      </c>
      <c r="AK10463" s="5" t="s">
        <v>3622</v>
      </c>
    </row>
    <row r="10464" spans="35:37">
      <c r="AI10464" s="468">
        <v>52836</v>
      </c>
      <c r="AJ10464" s="5" t="s">
        <v>3619</v>
      </c>
      <c r="AK10464" s="5" t="s">
        <v>3623</v>
      </c>
    </row>
    <row r="10465" spans="35:37">
      <c r="AI10465" s="468">
        <v>52837</v>
      </c>
      <c r="AJ10465" s="5" t="s">
        <v>3621</v>
      </c>
      <c r="AK10465" s="5" t="s">
        <v>3625</v>
      </c>
    </row>
    <row r="10466" spans="35:37">
      <c r="AI10466" s="468">
        <v>52838</v>
      </c>
      <c r="AJ10466" s="5" t="s">
        <v>3579</v>
      </c>
      <c r="AK10466" s="5" t="s">
        <v>3627</v>
      </c>
    </row>
    <row r="10467" spans="35:37">
      <c r="AI10467" s="468">
        <v>52839</v>
      </c>
      <c r="AJ10467" s="5" t="s">
        <v>3624</v>
      </c>
      <c r="AK10467" s="5" t="s">
        <v>3618</v>
      </c>
    </row>
    <row r="10468" spans="35:37">
      <c r="AI10468" s="468">
        <v>52840</v>
      </c>
      <c r="AJ10468" s="5" t="s">
        <v>3626</v>
      </c>
      <c r="AK10468" s="5" t="s">
        <v>3620</v>
      </c>
    </row>
    <row r="10469" spans="35:37">
      <c r="AI10469" s="468">
        <v>52841</v>
      </c>
      <c r="AJ10469" s="5" t="s">
        <v>3628</v>
      </c>
      <c r="AK10469" s="5" t="s">
        <v>3622</v>
      </c>
    </row>
    <row r="10470" spans="35:37">
      <c r="AI10470" s="468">
        <v>52842</v>
      </c>
      <c r="AJ10470" s="5" t="s">
        <v>3617</v>
      </c>
      <c r="AK10470" s="5" t="s">
        <v>3623</v>
      </c>
    </row>
    <row r="10471" spans="35:37">
      <c r="AI10471" s="468">
        <v>52843</v>
      </c>
      <c r="AJ10471" s="5" t="s">
        <v>3619</v>
      </c>
      <c r="AK10471" s="5" t="s">
        <v>3625</v>
      </c>
    </row>
    <row r="10472" spans="35:37">
      <c r="AI10472" s="468">
        <v>52844</v>
      </c>
      <c r="AJ10472" s="5" t="s">
        <v>3621</v>
      </c>
      <c r="AK10472" s="5" t="s">
        <v>3627</v>
      </c>
    </row>
    <row r="10473" spans="35:37">
      <c r="AI10473" s="468">
        <v>52845</v>
      </c>
      <c r="AJ10473" s="5" t="s">
        <v>3579</v>
      </c>
      <c r="AK10473" s="5" t="s">
        <v>3618</v>
      </c>
    </row>
    <row r="10474" spans="35:37">
      <c r="AI10474" s="468">
        <v>52846</v>
      </c>
      <c r="AJ10474" s="5" t="s">
        <v>3624</v>
      </c>
      <c r="AK10474" s="5" t="s">
        <v>3620</v>
      </c>
    </row>
    <row r="10475" spans="35:37">
      <c r="AI10475" s="468">
        <v>52847</v>
      </c>
      <c r="AJ10475" s="5" t="s">
        <v>3626</v>
      </c>
      <c r="AK10475" s="5" t="s">
        <v>3622</v>
      </c>
    </row>
    <row r="10476" spans="35:37">
      <c r="AI10476" s="468">
        <v>52848</v>
      </c>
      <c r="AJ10476" s="5" t="s">
        <v>3628</v>
      </c>
      <c r="AK10476" s="5" t="s">
        <v>3623</v>
      </c>
    </row>
    <row r="10477" spans="35:37">
      <c r="AI10477" s="468">
        <v>52849</v>
      </c>
      <c r="AJ10477" s="5" t="s">
        <v>3617</v>
      </c>
      <c r="AK10477" s="5" t="s">
        <v>3625</v>
      </c>
    </row>
    <row r="10478" spans="35:37">
      <c r="AI10478" s="468">
        <v>52850</v>
      </c>
      <c r="AJ10478" s="5" t="s">
        <v>3619</v>
      </c>
      <c r="AK10478" s="5" t="s">
        <v>3627</v>
      </c>
    </row>
    <row r="10479" spans="35:37">
      <c r="AI10479" s="468">
        <v>52851</v>
      </c>
      <c r="AJ10479" s="5" t="s">
        <v>3621</v>
      </c>
      <c r="AK10479" s="5" t="s">
        <v>3618</v>
      </c>
    </row>
    <row r="10480" spans="35:37">
      <c r="AI10480" s="468">
        <v>52852</v>
      </c>
      <c r="AJ10480" s="5" t="s">
        <v>3579</v>
      </c>
      <c r="AK10480" s="5" t="s">
        <v>3620</v>
      </c>
    </row>
    <row r="10481" spans="35:37">
      <c r="AI10481" s="468">
        <v>52853</v>
      </c>
      <c r="AJ10481" s="5" t="s">
        <v>3624</v>
      </c>
      <c r="AK10481" s="5" t="s">
        <v>3622</v>
      </c>
    </row>
    <row r="10482" spans="35:37">
      <c r="AI10482" s="468">
        <v>52854</v>
      </c>
      <c r="AJ10482" s="5" t="s">
        <v>3626</v>
      </c>
      <c r="AK10482" s="5" t="s">
        <v>3623</v>
      </c>
    </row>
    <row r="10483" spans="35:37">
      <c r="AI10483" s="468">
        <v>52855</v>
      </c>
      <c r="AJ10483" s="5" t="s">
        <v>3628</v>
      </c>
      <c r="AK10483" s="5" t="s">
        <v>3625</v>
      </c>
    </row>
    <row r="10484" spans="35:37">
      <c r="AI10484" s="468">
        <v>52856</v>
      </c>
      <c r="AJ10484" s="5" t="s">
        <v>3617</v>
      </c>
      <c r="AK10484" s="5" t="s">
        <v>3627</v>
      </c>
    </row>
    <row r="10485" spans="35:37">
      <c r="AI10485" s="468">
        <v>52857</v>
      </c>
      <c r="AJ10485" s="5" t="s">
        <v>3619</v>
      </c>
      <c r="AK10485" s="5" t="s">
        <v>3618</v>
      </c>
    </row>
    <row r="10486" spans="35:37">
      <c r="AI10486" s="468">
        <v>52858</v>
      </c>
      <c r="AJ10486" s="5" t="s">
        <v>3621</v>
      </c>
      <c r="AK10486" s="5" t="s">
        <v>3620</v>
      </c>
    </row>
    <row r="10487" spans="35:37">
      <c r="AI10487" s="468">
        <v>52859</v>
      </c>
      <c r="AJ10487" s="5" t="s">
        <v>3579</v>
      </c>
      <c r="AK10487" s="5" t="s">
        <v>3622</v>
      </c>
    </row>
    <row r="10488" spans="35:37">
      <c r="AI10488" s="468">
        <v>52860</v>
      </c>
      <c r="AJ10488" s="5" t="s">
        <v>3624</v>
      </c>
      <c r="AK10488" s="5" t="s">
        <v>3623</v>
      </c>
    </row>
    <row r="10489" spans="35:37">
      <c r="AI10489" s="468">
        <v>52861</v>
      </c>
      <c r="AJ10489" s="5" t="s">
        <v>3626</v>
      </c>
      <c r="AK10489" s="5" t="s">
        <v>3618</v>
      </c>
    </row>
    <row r="10490" spans="35:37">
      <c r="AI10490" s="468">
        <v>52862</v>
      </c>
      <c r="AJ10490" s="5" t="s">
        <v>3628</v>
      </c>
      <c r="AK10490" s="5" t="s">
        <v>3620</v>
      </c>
    </row>
    <row r="10491" spans="35:37">
      <c r="AI10491" s="468">
        <v>52863</v>
      </c>
      <c r="AJ10491" s="5" t="s">
        <v>3617</v>
      </c>
      <c r="AK10491" s="5" t="s">
        <v>3622</v>
      </c>
    </row>
    <row r="10492" spans="35:37">
      <c r="AI10492" s="468">
        <v>52864</v>
      </c>
      <c r="AJ10492" s="5" t="s">
        <v>3619</v>
      </c>
      <c r="AK10492" s="5" t="s">
        <v>3623</v>
      </c>
    </row>
    <row r="10493" spans="35:37">
      <c r="AI10493" s="468">
        <v>52865</v>
      </c>
      <c r="AJ10493" s="5" t="s">
        <v>3621</v>
      </c>
      <c r="AK10493" s="5" t="s">
        <v>3625</v>
      </c>
    </row>
    <row r="10494" spans="35:37">
      <c r="AI10494" s="468">
        <v>52866</v>
      </c>
      <c r="AJ10494" s="5" t="s">
        <v>3579</v>
      </c>
      <c r="AK10494" s="5" t="s">
        <v>3627</v>
      </c>
    </row>
    <row r="10495" spans="35:37">
      <c r="AI10495" s="468">
        <v>52867</v>
      </c>
      <c r="AJ10495" s="5" t="s">
        <v>3624</v>
      </c>
      <c r="AK10495" s="5" t="s">
        <v>3618</v>
      </c>
    </row>
    <row r="10496" spans="35:37">
      <c r="AI10496" s="468">
        <v>52868</v>
      </c>
      <c r="AJ10496" s="5" t="s">
        <v>3626</v>
      </c>
      <c r="AK10496" s="5" t="s">
        <v>3620</v>
      </c>
    </row>
    <row r="10497" spans="35:37">
      <c r="AI10497" s="468">
        <v>52869</v>
      </c>
      <c r="AJ10497" s="5" t="s">
        <v>3628</v>
      </c>
      <c r="AK10497" s="5" t="s">
        <v>3622</v>
      </c>
    </row>
    <row r="10498" spans="35:37">
      <c r="AI10498" s="468">
        <v>52870</v>
      </c>
      <c r="AJ10498" s="5" t="s">
        <v>3617</v>
      </c>
      <c r="AK10498" s="5" t="s">
        <v>3623</v>
      </c>
    </row>
    <row r="10499" spans="35:37">
      <c r="AI10499" s="468">
        <v>52871</v>
      </c>
      <c r="AJ10499" s="5" t="s">
        <v>3619</v>
      </c>
      <c r="AK10499" s="5" t="s">
        <v>3625</v>
      </c>
    </row>
    <row r="10500" spans="35:37">
      <c r="AI10500" s="468">
        <v>52872</v>
      </c>
      <c r="AJ10500" s="5" t="s">
        <v>3621</v>
      </c>
      <c r="AK10500" s="5" t="s">
        <v>3627</v>
      </c>
    </row>
    <row r="10501" spans="35:37">
      <c r="AI10501" s="468">
        <v>52873</v>
      </c>
      <c r="AJ10501" s="5" t="s">
        <v>3579</v>
      </c>
      <c r="AK10501" s="5" t="s">
        <v>3618</v>
      </c>
    </row>
    <row r="10502" spans="35:37">
      <c r="AI10502" s="468">
        <v>52874</v>
      </c>
      <c r="AJ10502" s="5" t="s">
        <v>3624</v>
      </c>
      <c r="AK10502" s="5" t="s">
        <v>3620</v>
      </c>
    </row>
    <row r="10503" spans="35:37">
      <c r="AI10503" s="468">
        <v>52875</v>
      </c>
      <c r="AJ10503" s="5" t="s">
        <v>3626</v>
      </c>
      <c r="AK10503" s="5" t="s">
        <v>3622</v>
      </c>
    </row>
    <row r="10504" spans="35:37">
      <c r="AI10504" s="468">
        <v>52876</v>
      </c>
      <c r="AJ10504" s="5" t="s">
        <v>3628</v>
      </c>
      <c r="AK10504" s="5" t="s">
        <v>3623</v>
      </c>
    </row>
    <row r="10505" spans="35:37">
      <c r="AI10505" s="468">
        <v>52877</v>
      </c>
      <c r="AJ10505" s="5" t="s">
        <v>3617</v>
      </c>
      <c r="AK10505" s="5" t="s">
        <v>3625</v>
      </c>
    </row>
    <row r="10506" spans="35:37">
      <c r="AI10506" s="468">
        <v>52878</v>
      </c>
      <c r="AJ10506" s="5" t="s">
        <v>3619</v>
      </c>
      <c r="AK10506" s="5" t="s">
        <v>3627</v>
      </c>
    </row>
    <row r="10507" spans="35:37">
      <c r="AI10507" s="468">
        <v>52879</v>
      </c>
      <c r="AJ10507" s="5" t="s">
        <v>3621</v>
      </c>
      <c r="AK10507" s="5" t="s">
        <v>3618</v>
      </c>
    </row>
    <row r="10508" spans="35:37">
      <c r="AI10508" s="468">
        <v>52880</v>
      </c>
      <c r="AJ10508" s="5" t="s">
        <v>3579</v>
      </c>
      <c r="AK10508" s="5" t="s">
        <v>3620</v>
      </c>
    </row>
    <row r="10509" spans="35:37">
      <c r="AI10509" s="468">
        <v>52881</v>
      </c>
      <c r="AJ10509" s="5" t="s">
        <v>3624</v>
      </c>
      <c r="AK10509" s="5" t="s">
        <v>3622</v>
      </c>
    </row>
    <row r="10510" spans="35:37">
      <c r="AI10510" s="468">
        <v>52882</v>
      </c>
      <c r="AJ10510" s="5" t="s">
        <v>3626</v>
      </c>
      <c r="AK10510" s="5" t="s">
        <v>3623</v>
      </c>
    </row>
    <row r="10511" spans="35:37">
      <c r="AI10511" s="468">
        <v>52883</v>
      </c>
      <c r="AJ10511" s="5" t="s">
        <v>3628</v>
      </c>
      <c r="AK10511" s="5" t="s">
        <v>3625</v>
      </c>
    </row>
    <row r="10512" spans="35:37">
      <c r="AI10512" s="468">
        <v>52884</v>
      </c>
      <c r="AJ10512" s="5" t="s">
        <v>3617</v>
      </c>
      <c r="AK10512" s="5" t="s">
        <v>3627</v>
      </c>
    </row>
    <row r="10513" spans="35:37">
      <c r="AI10513" s="468">
        <v>52885</v>
      </c>
      <c r="AJ10513" s="5" t="s">
        <v>3619</v>
      </c>
      <c r="AK10513" s="5" t="s">
        <v>3618</v>
      </c>
    </row>
    <row r="10514" spans="35:37">
      <c r="AI10514" s="468">
        <v>52886</v>
      </c>
      <c r="AJ10514" s="5" t="s">
        <v>3621</v>
      </c>
      <c r="AK10514" s="5" t="s">
        <v>3620</v>
      </c>
    </row>
    <row r="10515" spans="35:37">
      <c r="AI10515" s="468">
        <v>52887</v>
      </c>
      <c r="AJ10515" s="5" t="s">
        <v>3579</v>
      </c>
      <c r="AK10515" s="5" t="s">
        <v>3622</v>
      </c>
    </row>
    <row r="10516" spans="35:37">
      <c r="AI10516" s="468">
        <v>52888</v>
      </c>
      <c r="AJ10516" s="5" t="s">
        <v>3624</v>
      </c>
      <c r="AK10516" s="5" t="s">
        <v>3623</v>
      </c>
    </row>
    <row r="10517" spans="35:37">
      <c r="AI10517" s="468">
        <v>52889</v>
      </c>
      <c r="AJ10517" s="5" t="s">
        <v>3626</v>
      </c>
      <c r="AK10517" s="5" t="s">
        <v>3625</v>
      </c>
    </row>
    <row r="10518" spans="35:37">
      <c r="AI10518" s="468">
        <v>52890</v>
      </c>
      <c r="AJ10518" s="5" t="s">
        <v>3628</v>
      </c>
      <c r="AK10518" s="5" t="s">
        <v>3627</v>
      </c>
    </row>
    <row r="10519" spans="35:37">
      <c r="AI10519" s="468">
        <v>52891</v>
      </c>
      <c r="AJ10519" s="5" t="s">
        <v>3617</v>
      </c>
      <c r="AK10519" s="5" t="s">
        <v>3620</v>
      </c>
    </row>
    <row r="10520" spans="35:37">
      <c r="AI10520" s="468">
        <v>52892</v>
      </c>
      <c r="AJ10520" s="5" t="s">
        <v>3619</v>
      </c>
      <c r="AK10520" s="5" t="s">
        <v>3622</v>
      </c>
    </row>
    <row r="10521" spans="35:37">
      <c r="AI10521" s="468">
        <v>52893</v>
      </c>
      <c r="AJ10521" s="5" t="s">
        <v>3621</v>
      </c>
      <c r="AK10521" s="5" t="s">
        <v>3623</v>
      </c>
    </row>
    <row r="10522" spans="35:37">
      <c r="AI10522" s="468">
        <v>52894</v>
      </c>
      <c r="AJ10522" s="5" t="s">
        <v>3579</v>
      </c>
      <c r="AK10522" s="5" t="s">
        <v>3625</v>
      </c>
    </row>
    <row r="10523" spans="35:37">
      <c r="AI10523" s="468">
        <v>52895</v>
      </c>
      <c r="AJ10523" s="5" t="s">
        <v>3624</v>
      </c>
      <c r="AK10523" s="5" t="s">
        <v>3627</v>
      </c>
    </row>
    <row r="10524" spans="35:37">
      <c r="AI10524" s="468">
        <v>52896</v>
      </c>
      <c r="AJ10524" s="5" t="s">
        <v>3626</v>
      </c>
      <c r="AK10524" s="5" t="s">
        <v>3618</v>
      </c>
    </row>
    <row r="10525" spans="35:37">
      <c r="AI10525" s="468">
        <v>52897</v>
      </c>
      <c r="AJ10525" s="5" t="s">
        <v>3628</v>
      </c>
      <c r="AK10525" s="5" t="s">
        <v>3620</v>
      </c>
    </row>
    <row r="10526" spans="35:37">
      <c r="AI10526" s="468">
        <v>52898</v>
      </c>
      <c r="AJ10526" s="5" t="s">
        <v>3617</v>
      </c>
      <c r="AK10526" s="5" t="s">
        <v>3622</v>
      </c>
    </row>
    <row r="10527" spans="35:37">
      <c r="AI10527" s="468">
        <v>52899</v>
      </c>
      <c r="AJ10527" s="5" t="s">
        <v>3619</v>
      </c>
      <c r="AK10527" s="5" t="s">
        <v>3623</v>
      </c>
    </row>
    <row r="10528" spans="35:37">
      <c r="AI10528" s="468">
        <v>52900</v>
      </c>
      <c r="AJ10528" s="5" t="s">
        <v>3621</v>
      </c>
      <c r="AK10528" s="5" t="s">
        <v>3625</v>
      </c>
    </row>
    <row r="10529" spans="35:37">
      <c r="AI10529" s="468">
        <v>52901</v>
      </c>
      <c r="AJ10529" s="5" t="s">
        <v>3579</v>
      </c>
      <c r="AK10529" s="5" t="s">
        <v>3627</v>
      </c>
    </row>
    <row r="10530" spans="35:37">
      <c r="AI10530" s="468">
        <v>52902</v>
      </c>
      <c r="AJ10530" s="5" t="s">
        <v>3624</v>
      </c>
      <c r="AK10530" s="5" t="s">
        <v>3618</v>
      </c>
    </row>
    <row r="10531" spans="35:37">
      <c r="AI10531" s="468">
        <v>52903</v>
      </c>
      <c r="AJ10531" s="5" t="s">
        <v>3626</v>
      </c>
      <c r="AK10531" s="5" t="s">
        <v>3620</v>
      </c>
    </row>
    <row r="10532" spans="35:37">
      <c r="AI10532" s="468">
        <v>52904</v>
      </c>
      <c r="AJ10532" s="5" t="s">
        <v>3628</v>
      </c>
      <c r="AK10532" s="5" t="s">
        <v>3622</v>
      </c>
    </row>
    <row r="10533" spans="35:37">
      <c r="AI10533" s="468">
        <v>52905</v>
      </c>
      <c r="AJ10533" s="5" t="s">
        <v>3617</v>
      </c>
      <c r="AK10533" s="5" t="s">
        <v>3623</v>
      </c>
    </row>
    <row r="10534" spans="35:37">
      <c r="AI10534" s="468">
        <v>52906</v>
      </c>
      <c r="AJ10534" s="5" t="s">
        <v>3619</v>
      </c>
      <c r="AK10534" s="5" t="s">
        <v>3625</v>
      </c>
    </row>
    <row r="10535" spans="35:37">
      <c r="AI10535" s="468">
        <v>52907</v>
      </c>
      <c r="AJ10535" s="5" t="s">
        <v>3621</v>
      </c>
      <c r="AK10535" s="5" t="s">
        <v>3627</v>
      </c>
    </row>
    <row r="10536" spans="35:37">
      <c r="AI10536" s="468">
        <v>52908</v>
      </c>
      <c r="AJ10536" s="5" t="s">
        <v>3579</v>
      </c>
      <c r="AK10536" s="5" t="s">
        <v>3618</v>
      </c>
    </row>
    <row r="10537" spans="35:37">
      <c r="AI10537" s="468">
        <v>52909</v>
      </c>
      <c r="AJ10537" s="5" t="s">
        <v>3624</v>
      </c>
      <c r="AK10537" s="5" t="s">
        <v>3620</v>
      </c>
    </row>
    <row r="10538" spans="35:37">
      <c r="AI10538" s="468">
        <v>52910</v>
      </c>
      <c r="AJ10538" s="5" t="s">
        <v>3626</v>
      </c>
      <c r="AK10538" s="5" t="s">
        <v>3622</v>
      </c>
    </row>
    <row r="10539" spans="35:37">
      <c r="AI10539" s="468">
        <v>52911</v>
      </c>
      <c r="AJ10539" s="5" t="s">
        <v>3628</v>
      </c>
      <c r="AK10539" s="5" t="s">
        <v>3623</v>
      </c>
    </row>
    <row r="10540" spans="35:37">
      <c r="AI10540" s="468">
        <v>52912</v>
      </c>
      <c r="AJ10540" s="5" t="s">
        <v>3617</v>
      </c>
      <c r="AK10540" s="5" t="s">
        <v>3625</v>
      </c>
    </row>
    <row r="10541" spans="35:37">
      <c r="AI10541" s="468">
        <v>52913</v>
      </c>
      <c r="AJ10541" s="5" t="s">
        <v>3619</v>
      </c>
      <c r="AK10541" s="5" t="s">
        <v>3627</v>
      </c>
    </row>
    <row r="10542" spans="35:37">
      <c r="AI10542" s="468">
        <v>52914</v>
      </c>
      <c r="AJ10542" s="5" t="s">
        <v>3621</v>
      </c>
      <c r="AK10542" s="5" t="s">
        <v>3618</v>
      </c>
    </row>
    <row r="10543" spans="35:37">
      <c r="AI10543" s="468">
        <v>52915</v>
      </c>
      <c r="AJ10543" s="5" t="s">
        <v>3579</v>
      </c>
      <c r="AK10543" s="5" t="s">
        <v>3620</v>
      </c>
    </row>
    <row r="10544" spans="35:37">
      <c r="AI10544" s="468">
        <v>52916</v>
      </c>
      <c r="AJ10544" s="5" t="s">
        <v>3624</v>
      </c>
      <c r="AK10544" s="5" t="s">
        <v>3622</v>
      </c>
    </row>
    <row r="10545" spans="35:37">
      <c r="AI10545" s="468">
        <v>52917</v>
      </c>
      <c r="AJ10545" s="5" t="s">
        <v>3626</v>
      </c>
      <c r="AK10545" s="5" t="s">
        <v>3623</v>
      </c>
    </row>
    <row r="10546" spans="35:37">
      <c r="AI10546" s="468">
        <v>52918</v>
      </c>
      <c r="AJ10546" s="5" t="s">
        <v>3628</v>
      </c>
      <c r="AK10546" s="5" t="s">
        <v>3625</v>
      </c>
    </row>
    <row r="10547" spans="35:37">
      <c r="AI10547" s="468">
        <v>52919</v>
      </c>
      <c r="AJ10547" s="5" t="s">
        <v>3617</v>
      </c>
      <c r="AK10547" s="5" t="s">
        <v>3627</v>
      </c>
    </row>
    <row r="10548" spans="35:37">
      <c r="AI10548" s="468">
        <v>52920</v>
      </c>
      <c r="AJ10548" s="5" t="s">
        <v>3619</v>
      </c>
      <c r="AK10548" s="5" t="s">
        <v>3622</v>
      </c>
    </row>
    <row r="10549" spans="35:37">
      <c r="AI10549" s="468">
        <v>52921</v>
      </c>
      <c r="AJ10549" s="5" t="s">
        <v>3621</v>
      </c>
      <c r="AK10549" s="5" t="s">
        <v>3623</v>
      </c>
    </row>
    <row r="10550" spans="35:37">
      <c r="AI10550" s="468">
        <v>52922</v>
      </c>
      <c r="AJ10550" s="5" t="s">
        <v>3579</v>
      </c>
      <c r="AK10550" s="5" t="s">
        <v>3625</v>
      </c>
    </row>
    <row r="10551" spans="35:37">
      <c r="AI10551" s="468">
        <v>52923</v>
      </c>
      <c r="AJ10551" s="5" t="s">
        <v>3624</v>
      </c>
      <c r="AK10551" s="5" t="s">
        <v>3627</v>
      </c>
    </row>
    <row r="10552" spans="35:37">
      <c r="AI10552" s="468">
        <v>52924</v>
      </c>
      <c r="AJ10552" s="5" t="s">
        <v>3626</v>
      </c>
      <c r="AK10552" s="5" t="s">
        <v>3618</v>
      </c>
    </row>
    <row r="10553" spans="35:37">
      <c r="AI10553" s="468">
        <v>52925</v>
      </c>
      <c r="AJ10553" s="5" t="s">
        <v>3628</v>
      </c>
      <c r="AK10553" s="5" t="s">
        <v>3620</v>
      </c>
    </row>
    <row r="10554" spans="35:37">
      <c r="AI10554" s="468">
        <v>52926</v>
      </c>
      <c r="AJ10554" s="5" t="s">
        <v>3617</v>
      </c>
      <c r="AK10554" s="5" t="s">
        <v>3622</v>
      </c>
    </row>
    <row r="10555" spans="35:37">
      <c r="AI10555" s="468">
        <v>52927</v>
      </c>
      <c r="AJ10555" s="5" t="s">
        <v>3619</v>
      </c>
      <c r="AK10555" s="5" t="s">
        <v>3623</v>
      </c>
    </row>
    <row r="10556" spans="35:37">
      <c r="AI10556" s="468">
        <v>52928</v>
      </c>
      <c r="AJ10556" s="5" t="s">
        <v>3621</v>
      </c>
      <c r="AK10556" s="5" t="s">
        <v>3625</v>
      </c>
    </row>
    <row r="10557" spans="35:37">
      <c r="AI10557" s="468">
        <v>52929</v>
      </c>
      <c r="AJ10557" s="5" t="s">
        <v>3579</v>
      </c>
      <c r="AK10557" s="5" t="s">
        <v>3627</v>
      </c>
    </row>
    <row r="10558" spans="35:37">
      <c r="AI10558" s="468">
        <v>52930</v>
      </c>
      <c r="AJ10558" s="5" t="s">
        <v>3624</v>
      </c>
      <c r="AK10558" s="5" t="s">
        <v>3618</v>
      </c>
    </row>
    <row r="10559" spans="35:37">
      <c r="AI10559" s="468">
        <v>52931</v>
      </c>
      <c r="AJ10559" s="5" t="s">
        <v>3626</v>
      </c>
      <c r="AK10559" s="5" t="s">
        <v>3620</v>
      </c>
    </row>
    <row r="10560" spans="35:37">
      <c r="AI10560" s="468">
        <v>52932</v>
      </c>
      <c r="AJ10560" s="5" t="s">
        <v>3628</v>
      </c>
      <c r="AK10560" s="5" t="s">
        <v>3622</v>
      </c>
    </row>
    <row r="10561" spans="35:37">
      <c r="AI10561" s="468">
        <v>52933</v>
      </c>
      <c r="AJ10561" s="5" t="s">
        <v>3617</v>
      </c>
      <c r="AK10561" s="5" t="s">
        <v>3623</v>
      </c>
    </row>
    <row r="10562" spans="35:37">
      <c r="AI10562" s="468">
        <v>52934</v>
      </c>
      <c r="AJ10562" s="5" t="s">
        <v>3619</v>
      </c>
      <c r="AK10562" s="5" t="s">
        <v>3625</v>
      </c>
    </row>
    <row r="10563" spans="35:37">
      <c r="AI10563" s="468">
        <v>52935</v>
      </c>
      <c r="AJ10563" s="5" t="s">
        <v>3621</v>
      </c>
      <c r="AK10563" s="5" t="s">
        <v>3627</v>
      </c>
    </row>
    <row r="10564" spans="35:37">
      <c r="AI10564" s="468">
        <v>52936</v>
      </c>
      <c r="AJ10564" s="5" t="s">
        <v>3579</v>
      </c>
      <c r="AK10564" s="5" t="s">
        <v>3618</v>
      </c>
    </row>
    <row r="10565" spans="35:37">
      <c r="AI10565" s="468">
        <v>52937</v>
      </c>
      <c r="AJ10565" s="5" t="s">
        <v>3624</v>
      </c>
      <c r="AK10565" s="5" t="s">
        <v>3620</v>
      </c>
    </row>
    <row r="10566" spans="35:37">
      <c r="AI10566" s="468">
        <v>52938</v>
      </c>
      <c r="AJ10566" s="5" t="s">
        <v>3626</v>
      </c>
      <c r="AK10566" s="5" t="s">
        <v>3622</v>
      </c>
    </row>
    <row r="10567" spans="35:37">
      <c r="AI10567" s="468">
        <v>52939</v>
      </c>
      <c r="AJ10567" s="5" t="s">
        <v>3628</v>
      </c>
      <c r="AK10567" s="5" t="s">
        <v>3623</v>
      </c>
    </row>
    <row r="10568" spans="35:37">
      <c r="AI10568" s="468">
        <v>52940</v>
      </c>
      <c r="AJ10568" s="5" t="s">
        <v>3617</v>
      </c>
      <c r="AK10568" s="5" t="s">
        <v>3625</v>
      </c>
    </row>
    <row r="10569" spans="35:37">
      <c r="AI10569" s="468">
        <v>52941</v>
      </c>
      <c r="AJ10569" s="5" t="s">
        <v>3619</v>
      </c>
      <c r="AK10569" s="5" t="s">
        <v>3627</v>
      </c>
    </row>
    <row r="10570" spans="35:37">
      <c r="AI10570" s="468">
        <v>52942</v>
      </c>
      <c r="AJ10570" s="5" t="s">
        <v>3621</v>
      </c>
      <c r="AK10570" s="5" t="s">
        <v>3618</v>
      </c>
    </row>
    <row r="10571" spans="35:37">
      <c r="AI10571" s="468">
        <v>52943</v>
      </c>
      <c r="AJ10571" s="5" t="s">
        <v>3579</v>
      </c>
      <c r="AK10571" s="5" t="s">
        <v>3620</v>
      </c>
    </row>
    <row r="10572" spans="35:37">
      <c r="AI10572" s="468">
        <v>52944</v>
      </c>
      <c r="AJ10572" s="5" t="s">
        <v>3624</v>
      </c>
      <c r="AK10572" s="5" t="s">
        <v>3622</v>
      </c>
    </row>
    <row r="10573" spans="35:37">
      <c r="AI10573" s="468">
        <v>52945</v>
      </c>
      <c r="AJ10573" s="5" t="s">
        <v>3626</v>
      </c>
      <c r="AK10573" s="5" t="s">
        <v>3623</v>
      </c>
    </row>
    <row r="10574" spans="35:37">
      <c r="AI10574" s="468">
        <v>52946</v>
      </c>
      <c r="AJ10574" s="5" t="s">
        <v>3628</v>
      </c>
      <c r="AK10574" s="5" t="s">
        <v>3625</v>
      </c>
    </row>
    <row r="10575" spans="35:37">
      <c r="AI10575" s="468">
        <v>52947</v>
      </c>
      <c r="AJ10575" s="5" t="s">
        <v>3617</v>
      </c>
      <c r="AK10575" s="5" t="s">
        <v>3627</v>
      </c>
    </row>
    <row r="10576" spans="35:37">
      <c r="AI10576" s="468">
        <v>52948</v>
      </c>
      <c r="AJ10576" s="5" t="s">
        <v>3619</v>
      </c>
      <c r="AK10576" s="5" t="s">
        <v>3618</v>
      </c>
    </row>
    <row r="10577" spans="35:37">
      <c r="AI10577" s="468">
        <v>52949</v>
      </c>
      <c r="AJ10577" s="5" t="s">
        <v>3621</v>
      </c>
      <c r="AK10577" s="5" t="s">
        <v>3620</v>
      </c>
    </row>
    <row r="10578" spans="35:37">
      <c r="AI10578" s="468">
        <v>52950</v>
      </c>
      <c r="AJ10578" s="5" t="s">
        <v>3579</v>
      </c>
      <c r="AK10578" s="5" t="s">
        <v>3623</v>
      </c>
    </row>
    <row r="10579" spans="35:37">
      <c r="AI10579" s="468">
        <v>52951</v>
      </c>
      <c r="AJ10579" s="5" t="s">
        <v>3624</v>
      </c>
      <c r="AK10579" s="5" t="s">
        <v>3625</v>
      </c>
    </row>
    <row r="10580" spans="35:37">
      <c r="AI10580" s="468">
        <v>52952</v>
      </c>
      <c r="AJ10580" s="5" t="s">
        <v>3626</v>
      </c>
      <c r="AK10580" s="5" t="s">
        <v>3627</v>
      </c>
    </row>
    <row r="10581" spans="35:37">
      <c r="AI10581" s="468">
        <v>52953</v>
      </c>
      <c r="AJ10581" s="5" t="s">
        <v>3628</v>
      </c>
      <c r="AK10581" s="5" t="s">
        <v>3618</v>
      </c>
    </row>
    <row r="10582" spans="35:37">
      <c r="AI10582" s="468">
        <v>52954</v>
      </c>
      <c r="AJ10582" s="5" t="s">
        <v>3617</v>
      </c>
      <c r="AK10582" s="5" t="s">
        <v>3620</v>
      </c>
    </row>
    <row r="10583" spans="35:37">
      <c r="AI10583" s="468">
        <v>52955</v>
      </c>
      <c r="AJ10583" s="5" t="s">
        <v>3619</v>
      </c>
      <c r="AK10583" s="5" t="s">
        <v>3622</v>
      </c>
    </row>
    <row r="10584" spans="35:37">
      <c r="AI10584" s="468">
        <v>52956</v>
      </c>
      <c r="AJ10584" s="5" t="s">
        <v>3621</v>
      </c>
      <c r="AK10584" s="5" t="s">
        <v>3623</v>
      </c>
    </row>
    <row r="10585" spans="35:37">
      <c r="AI10585" s="468">
        <v>52957</v>
      </c>
      <c r="AJ10585" s="5" t="s">
        <v>3579</v>
      </c>
      <c r="AK10585" s="5" t="s">
        <v>3625</v>
      </c>
    </row>
    <row r="10586" spans="35:37">
      <c r="AI10586" s="468">
        <v>52958</v>
      </c>
      <c r="AJ10586" s="5" t="s">
        <v>3624</v>
      </c>
      <c r="AK10586" s="5" t="s">
        <v>3627</v>
      </c>
    </row>
    <row r="10587" spans="35:37">
      <c r="AI10587" s="468">
        <v>52959</v>
      </c>
      <c r="AJ10587" s="5" t="s">
        <v>3626</v>
      </c>
      <c r="AK10587" s="5" t="s">
        <v>3618</v>
      </c>
    </row>
    <row r="10588" spans="35:37">
      <c r="AI10588" s="468">
        <v>52960</v>
      </c>
      <c r="AJ10588" s="5" t="s">
        <v>3628</v>
      </c>
      <c r="AK10588" s="5" t="s">
        <v>3620</v>
      </c>
    </row>
    <row r="10589" spans="35:37">
      <c r="AI10589" s="468">
        <v>52961</v>
      </c>
      <c r="AJ10589" s="5" t="s">
        <v>3617</v>
      </c>
      <c r="AK10589" s="5" t="s">
        <v>3622</v>
      </c>
    </row>
    <row r="10590" spans="35:37">
      <c r="AI10590" s="468">
        <v>52962</v>
      </c>
      <c r="AJ10590" s="5" t="s">
        <v>3619</v>
      </c>
      <c r="AK10590" s="5" t="s">
        <v>3623</v>
      </c>
    </row>
    <row r="10591" spans="35:37">
      <c r="AI10591" s="468">
        <v>52963</v>
      </c>
      <c r="AJ10591" s="5" t="s">
        <v>3621</v>
      </c>
      <c r="AK10591" s="5" t="s">
        <v>3625</v>
      </c>
    </row>
    <row r="10592" spans="35:37">
      <c r="AI10592" s="468">
        <v>52964</v>
      </c>
      <c r="AJ10592" s="5" t="s">
        <v>3579</v>
      </c>
      <c r="AK10592" s="5" t="s">
        <v>3627</v>
      </c>
    </row>
    <row r="10593" spans="35:37">
      <c r="AI10593" s="468">
        <v>52965</v>
      </c>
      <c r="AJ10593" s="5" t="s">
        <v>3624</v>
      </c>
      <c r="AK10593" s="5" t="s">
        <v>3618</v>
      </c>
    </row>
    <row r="10594" spans="35:37">
      <c r="AI10594" s="468">
        <v>52966</v>
      </c>
      <c r="AJ10594" s="5" t="s">
        <v>3626</v>
      </c>
      <c r="AK10594" s="5" t="s">
        <v>3620</v>
      </c>
    </row>
    <row r="10595" spans="35:37">
      <c r="AI10595" s="468">
        <v>52967</v>
      </c>
      <c r="AJ10595" s="5" t="s">
        <v>3628</v>
      </c>
      <c r="AK10595" s="5" t="s">
        <v>3622</v>
      </c>
    </row>
    <row r="10596" spans="35:37">
      <c r="AI10596" s="468">
        <v>52968</v>
      </c>
      <c r="AJ10596" s="5" t="s">
        <v>3617</v>
      </c>
      <c r="AK10596" s="5" t="s">
        <v>3623</v>
      </c>
    </row>
    <row r="10597" spans="35:37">
      <c r="AI10597" s="468">
        <v>52969</v>
      </c>
      <c r="AJ10597" s="5" t="s">
        <v>3619</v>
      </c>
      <c r="AK10597" s="5" t="s">
        <v>3625</v>
      </c>
    </row>
    <row r="10598" spans="35:37">
      <c r="AI10598" s="468">
        <v>52970</v>
      </c>
      <c r="AJ10598" s="5" t="s">
        <v>3621</v>
      </c>
      <c r="AK10598" s="5" t="s">
        <v>3627</v>
      </c>
    </row>
    <row r="10599" spans="35:37">
      <c r="AI10599" s="468">
        <v>52971</v>
      </c>
      <c r="AJ10599" s="5" t="s">
        <v>3579</v>
      </c>
      <c r="AK10599" s="5" t="s">
        <v>3618</v>
      </c>
    </row>
    <row r="10600" spans="35:37">
      <c r="AI10600" s="468">
        <v>52972</v>
      </c>
      <c r="AJ10600" s="5" t="s">
        <v>3624</v>
      </c>
      <c r="AK10600" s="5" t="s">
        <v>3620</v>
      </c>
    </row>
    <row r="10601" spans="35:37">
      <c r="AI10601" s="468">
        <v>52973</v>
      </c>
      <c r="AJ10601" s="5" t="s">
        <v>3626</v>
      </c>
      <c r="AK10601" s="5" t="s">
        <v>3622</v>
      </c>
    </row>
    <row r="10602" spans="35:37">
      <c r="AI10602" s="468">
        <v>52974</v>
      </c>
      <c r="AJ10602" s="5" t="s">
        <v>3628</v>
      </c>
      <c r="AK10602" s="5" t="s">
        <v>3623</v>
      </c>
    </row>
    <row r="10603" spans="35:37">
      <c r="AI10603" s="468">
        <v>52975</v>
      </c>
      <c r="AJ10603" s="5" t="s">
        <v>3617</v>
      </c>
      <c r="AK10603" s="5" t="s">
        <v>3625</v>
      </c>
    </row>
    <row r="10604" spans="35:37">
      <c r="AI10604" s="468">
        <v>52976</v>
      </c>
      <c r="AJ10604" s="5" t="s">
        <v>3619</v>
      </c>
      <c r="AK10604" s="5" t="s">
        <v>3627</v>
      </c>
    </row>
    <row r="10605" spans="35:37">
      <c r="AI10605" s="468">
        <v>52977</v>
      </c>
      <c r="AJ10605" s="5" t="s">
        <v>3621</v>
      </c>
      <c r="AK10605" s="5" t="s">
        <v>3618</v>
      </c>
    </row>
    <row r="10606" spans="35:37">
      <c r="AI10606" s="468">
        <v>52978</v>
      </c>
      <c r="AJ10606" s="5" t="s">
        <v>3579</v>
      </c>
      <c r="AK10606" s="5" t="s">
        <v>3620</v>
      </c>
    </row>
    <row r="10607" spans="35:37">
      <c r="AI10607" s="468">
        <v>52979</v>
      </c>
      <c r="AJ10607" s="5" t="s">
        <v>3624</v>
      </c>
      <c r="AK10607" s="5" t="s">
        <v>3622</v>
      </c>
    </row>
    <row r="10608" spans="35:37">
      <c r="AI10608" s="468">
        <v>52980</v>
      </c>
      <c r="AJ10608" s="5" t="s">
        <v>3626</v>
      </c>
      <c r="AK10608" s="5" t="s">
        <v>3625</v>
      </c>
    </row>
    <row r="10609" spans="35:37">
      <c r="AI10609" s="468">
        <v>52981</v>
      </c>
      <c r="AJ10609" s="5" t="s">
        <v>3628</v>
      </c>
      <c r="AK10609" s="5" t="s">
        <v>3627</v>
      </c>
    </row>
    <row r="10610" spans="35:37">
      <c r="AI10610" s="468">
        <v>52982</v>
      </c>
      <c r="AJ10610" s="5" t="s">
        <v>3617</v>
      </c>
      <c r="AK10610" s="5" t="s">
        <v>3618</v>
      </c>
    </row>
    <row r="10611" spans="35:37">
      <c r="AI10611" s="468">
        <v>52983</v>
      </c>
      <c r="AJ10611" s="5" t="s">
        <v>3619</v>
      </c>
      <c r="AK10611" s="5" t="s">
        <v>3620</v>
      </c>
    </row>
    <row r="10612" spans="35:37">
      <c r="AI10612" s="468">
        <v>52984</v>
      </c>
      <c r="AJ10612" s="5" t="s">
        <v>3621</v>
      </c>
      <c r="AK10612" s="5" t="s">
        <v>3622</v>
      </c>
    </row>
    <row r="10613" spans="35:37">
      <c r="AI10613" s="468">
        <v>52985</v>
      </c>
      <c r="AJ10613" s="5" t="s">
        <v>3579</v>
      </c>
      <c r="AK10613" s="5" t="s">
        <v>3623</v>
      </c>
    </row>
    <row r="10614" spans="35:37">
      <c r="AI10614" s="468">
        <v>52986</v>
      </c>
      <c r="AJ10614" s="5" t="s">
        <v>3624</v>
      </c>
      <c r="AK10614" s="5" t="s">
        <v>3625</v>
      </c>
    </row>
    <row r="10615" spans="35:37">
      <c r="AI10615" s="468">
        <v>52987</v>
      </c>
      <c r="AJ10615" s="5" t="s">
        <v>3626</v>
      </c>
      <c r="AK10615" s="5" t="s">
        <v>3627</v>
      </c>
    </row>
    <row r="10616" spans="35:37">
      <c r="AI10616" s="468">
        <v>52988</v>
      </c>
      <c r="AJ10616" s="5" t="s">
        <v>3628</v>
      </c>
      <c r="AK10616" s="5" t="s">
        <v>3618</v>
      </c>
    </row>
    <row r="10617" spans="35:37">
      <c r="AI10617" s="468">
        <v>52989</v>
      </c>
      <c r="AJ10617" s="5" t="s">
        <v>3617</v>
      </c>
      <c r="AK10617" s="5" t="s">
        <v>3620</v>
      </c>
    </row>
    <row r="10618" spans="35:37">
      <c r="AI10618" s="468">
        <v>52990</v>
      </c>
      <c r="AJ10618" s="5" t="s">
        <v>3619</v>
      </c>
      <c r="AK10618" s="5" t="s">
        <v>3622</v>
      </c>
    </row>
    <row r="10619" spans="35:37">
      <c r="AI10619" s="468">
        <v>52991</v>
      </c>
      <c r="AJ10619" s="5" t="s">
        <v>3621</v>
      </c>
      <c r="AK10619" s="5" t="s">
        <v>3623</v>
      </c>
    </row>
    <row r="10620" spans="35:37">
      <c r="AI10620" s="468">
        <v>52992</v>
      </c>
      <c r="AJ10620" s="5" t="s">
        <v>3579</v>
      </c>
      <c r="AK10620" s="5" t="s">
        <v>3625</v>
      </c>
    </row>
    <row r="10621" spans="35:37">
      <c r="AI10621" s="468">
        <v>52993</v>
      </c>
      <c r="AJ10621" s="5" t="s">
        <v>3624</v>
      </c>
      <c r="AK10621" s="5" t="s">
        <v>3627</v>
      </c>
    </row>
    <row r="10622" spans="35:37">
      <c r="AI10622" s="468">
        <v>52994</v>
      </c>
      <c r="AJ10622" s="5" t="s">
        <v>3626</v>
      </c>
      <c r="AK10622" s="5" t="s">
        <v>3618</v>
      </c>
    </row>
    <row r="10623" spans="35:37">
      <c r="AI10623" s="468">
        <v>52995</v>
      </c>
      <c r="AJ10623" s="5" t="s">
        <v>3628</v>
      </c>
      <c r="AK10623" s="5" t="s">
        <v>3620</v>
      </c>
    </row>
    <row r="10624" spans="35:37">
      <c r="AI10624" s="468">
        <v>52996</v>
      </c>
      <c r="AJ10624" s="5" t="s">
        <v>3617</v>
      </c>
      <c r="AK10624" s="5" t="s">
        <v>3622</v>
      </c>
    </row>
    <row r="10625" spans="35:37">
      <c r="AI10625" s="468">
        <v>52997</v>
      </c>
      <c r="AJ10625" s="5" t="s">
        <v>3619</v>
      </c>
      <c r="AK10625" s="5" t="s">
        <v>3623</v>
      </c>
    </row>
    <row r="10626" spans="35:37">
      <c r="AI10626" s="468">
        <v>52998</v>
      </c>
      <c r="AJ10626" s="5" t="s">
        <v>3621</v>
      </c>
      <c r="AK10626" s="5" t="s">
        <v>3625</v>
      </c>
    </row>
    <row r="10627" spans="35:37">
      <c r="AI10627" s="468">
        <v>52999</v>
      </c>
      <c r="AJ10627" s="5" t="s">
        <v>3579</v>
      </c>
      <c r="AK10627" s="5" t="s">
        <v>3627</v>
      </c>
    </row>
    <row r="10628" spans="35:37">
      <c r="AI10628" s="468">
        <v>53000</v>
      </c>
      <c r="AJ10628" s="5" t="s">
        <v>3624</v>
      </c>
      <c r="AK10628" s="5" t="s">
        <v>3618</v>
      </c>
    </row>
    <row r="10629" spans="35:37">
      <c r="AI10629" s="468">
        <v>53001</v>
      </c>
      <c r="AJ10629" s="5" t="s">
        <v>3626</v>
      </c>
      <c r="AK10629" s="5" t="s">
        <v>3620</v>
      </c>
    </row>
    <row r="10630" spans="35:37">
      <c r="AI10630" s="468">
        <v>53002</v>
      </c>
      <c r="AJ10630" s="5" t="s">
        <v>3628</v>
      </c>
      <c r="AK10630" s="5" t="s">
        <v>3622</v>
      </c>
    </row>
    <row r="10631" spans="35:37">
      <c r="AI10631" s="468">
        <v>53003</v>
      </c>
      <c r="AJ10631" s="5" t="s">
        <v>3617</v>
      </c>
      <c r="AK10631" s="5" t="s">
        <v>3623</v>
      </c>
    </row>
    <row r="10632" spans="35:37">
      <c r="AI10632" s="468">
        <v>53004</v>
      </c>
      <c r="AJ10632" s="5" t="s">
        <v>3619</v>
      </c>
      <c r="AK10632" s="5" t="s">
        <v>3625</v>
      </c>
    </row>
    <row r="10633" spans="35:37">
      <c r="AI10633" s="468">
        <v>53005</v>
      </c>
      <c r="AJ10633" s="5" t="s">
        <v>3621</v>
      </c>
      <c r="AK10633" s="5" t="s">
        <v>3627</v>
      </c>
    </row>
    <row r="10634" spans="35:37">
      <c r="AI10634" s="468">
        <v>53006</v>
      </c>
      <c r="AJ10634" s="5" t="s">
        <v>3579</v>
      </c>
      <c r="AK10634" s="5" t="s">
        <v>3618</v>
      </c>
    </row>
    <row r="10635" spans="35:37">
      <c r="AI10635" s="468">
        <v>53007</v>
      </c>
      <c r="AJ10635" s="5" t="s">
        <v>3624</v>
      </c>
      <c r="AK10635" s="5" t="s">
        <v>3620</v>
      </c>
    </row>
    <row r="10636" spans="35:37">
      <c r="AI10636" s="468">
        <v>53008</v>
      </c>
      <c r="AJ10636" s="5" t="s">
        <v>3626</v>
      </c>
      <c r="AK10636" s="5" t="s">
        <v>3622</v>
      </c>
    </row>
    <row r="10637" spans="35:37">
      <c r="AI10637" s="468">
        <v>53009</v>
      </c>
      <c r="AJ10637" s="5" t="s">
        <v>3628</v>
      </c>
      <c r="AK10637" s="5" t="s">
        <v>3623</v>
      </c>
    </row>
    <row r="10638" spans="35:37">
      <c r="AI10638" s="468">
        <v>53010</v>
      </c>
      <c r="AJ10638" s="5" t="s">
        <v>3617</v>
      </c>
      <c r="AK10638" s="5" t="s">
        <v>3627</v>
      </c>
    </row>
    <row r="10639" spans="35:37">
      <c r="AI10639" s="468">
        <v>53011</v>
      </c>
      <c r="AJ10639" s="5" t="s">
        <v>3619</v>
      </c>
      <c r="AK10639" s="5" t="s">
        <v>3618</v>
      </c>
    </row>
    <row r="10640" spans="35:37">
      <c r="AI10640" s="468">
        <v>53012</v>
      </c>
      <c r="AJ10640" s="5" t="s">
        <v>3621</v>
      </c>
      <c r="AK10640" s="5" t="s">
        <v>3620</v>
      </c>
    </row>
    <row r="10641" spans="35:37">
      <c r="AI10641" s="468">
        <v>53013</v>
      </c>
      <c r="AJ10641" s="5" t="s">
        <v>3579</v>
      </c>
      <c r="AK10641" s="5" t="s">
        <v>3622</v>
      </c>
    </row>
    <row r="10642" spans="35:37">
      <c r="AI10642" s="468">
        <v>53014</v>
      </c>
      <c r="AJ10642" s="5" t="s">
        <v>3624</v>
      </c>
      <c r="AK10642" s="5" t="s">
        <v>3623</v>
      </c>
    </row>
    <row r="10643" spans="35:37">
      <c r="AI10643" s="468">
        <v>53015</v>
      </c>
      <c r="AJ10643" s="5" t="s">
        <v>3626</v>
      </c>
      <c r="AK10643" s="5" t="s">
        <v>3625</v>
      </c>
    </row>
    <row r="10644" spans="35:37">
      <c r="AI10644" s="468">
        <v>53016</v>
      </c>
      <c r="AJ10644" s="5" t="s">
        <v>3628</v>
      </c>
      <c r="AK10644" s="5" t="s">
        <v>3627</v>
      </c>
    </row>
    <row r="10645" spans="35:37">
      <c r="AI10645" s="468">
        <v>53017</v>
      </c>
      <c r="AJ10645" s="5" t="s">
        <v>3617</v>
      </c>
      <c r="AK10645" s="5" t="s">
        <v>3618</v>
      </c>
    </row>
    <row r="10646" spans="35:37">
      <c r="AI10646" s="468">
        <v>53018</v>
      </c>
      <c r="AJ10646" s="5" t="s">
        <v>3619</v>
      </c>
      <c r="AK10646" s="5" t="s">
        <v>3620</v>
      </c>
    </row>
    <row r="10647" spans="35:37">
      <c r="AI10647" s="468">
        <v>53019</v>
      </c>
      <c r="AJ10647" s="5" t="s">
        <v>3621</v>
      </c>
      <c r="AK10647" s="5" t="s">
        <v>3622</v>
      </c>
    </row>
    <row r="10648" spans="35:37">
      <c r="AI10648" s="468">
        <v>53020</v>
      </c>
      <c r="AJ10648" s="5" t="s">
        <v>3579</v>
      </c>
      <c r="AK10648" s="5" t="s">
        <v>3623</v>
      </c>
    </row>
    <row r="10649" spans="35:37">
      <c r="AI10649" s="468">
        <v>53021</v>
      </c>
      <c r="AJ10649" s="5" t="s">
        <v>3624</v>
      </c>
      <c r="AK10649" s="5" t="s">
        <v>3625</v>
      </c>
    </row>
    <row r="10650" spans="35:37">
      <c r="AI10650" s="468">
        <v>53022</v>
      </c>
      <c r="AJ10650" s="5" t="s">
        <v>3626</v>
      </c>
      <c r="AK10650" s="5" t="s">
        <v>3627</v>
      </c>
    </row>
    <row r="10651" spans="35:37">
      <c r="AI10651" s="468">
        <v>53023</v>
      </c>
      <c r="AJ10651" s="5" t="s">
        <v>3628</v>
      </c>
      <c r="AK10651" s="5" t="s">
        <v>3618</v>
      </c>
    </row>
    <row r="10652" spans="35:37">
      <c r="AI10652" s="468">
        <v>53024</v>
      </c>
      <c r="AJ10652" s="5" t="s">
        <v>3617</v>
      </c>
      <c r="AK10652" s="5" t="s">
        <v>3620</v>
      </c>
    </row>
    <row r="10653" spans="35:37">
      <c r="AI10653" s="468">
        <v>53025</v>
      </c>
      <c r="AJ10653" s="5" t="s">
        <v>3619</v>
      </c>
      <c r="AK10653" s="5" t="s">
        <v>3622</v>
      </c>
    </row>
    <row r="10654" spans="35:37">
      <c r="AI10654" s="468">
        <v>53026</v>
      </c>
      <c r="AJ10654" s="5" t="s">
        <v>3621</v>
      </c>
      <c r="AK10654" s="5" t="s">
        <v>3623</v>
      </c>
    </row>
    <row r="10655" spans="35:37">
      <c r="AI10655" s="468">
        <v>53027</v>
      </c>
      <c r="AJ10655" s="5" t="s">
        <v>3579</v>
      </c>
      <c r="AK10655" s="5" t="s">
        <v>3625</v>
      </c>
    </row>
    <row r="10656" spans="35:37">
      <c r="AI10656" s="468">
        <v>53028</v>
      </c>
      <c r="AJ10656" s="5" t="s">
        <v>3624</v>
      </c>
      <c r="AK10656" s="5" t="s">
        <v>3627</v>
      </c>
    </row>
    <row r="10657" spans="35:37">
      <c r="AI10657" s="468">
        <v>53029</v>
      </c>
      <c r="AJ10657" s="5" t="s">
        <v>3626</v>
      </c>
      <c r="AK10657" s="5" t="s">
        <v>3618</v>
      </c>
    </row>
    <row r="10658" spans="35:37">
      <c r="AI10658" s="468">
        <v>53030</v>
      </c>
      <c r="AJ10658" s="5" t="s">
        <v>3628</v>
      </c>
      <c r="AK10658" s="5" t="s">
        <v>3620</v>
      </c>
    </row>
    <row r="10659" spans="35:37">
      <c r="AI10659" s="468">
        <v>53031</v>
      </c>
      <c r="AJ10659" s="5" t="s">
        <v>3617</v>
      </c>
      <c r="AK10659" s="5" t="s">
        <v>3622</v>
      </c>
    </row>
    <row r="10660" spans="35:37">
      <c r="AI10660" s="468">
        <v>53032</v>
      </c>
      <c r="AJ10660" s="5" t="s">
        <v>3619</v>
      </c>
      <c r="AK10660" s="5" t="s">
        <v>3623</v>
      </c>
    </row>
    <row r="10661" spans="35:37">
      <c r="AI10661" s="468">
        <v>53033</v>
      </c>
      <c r="AJ10661" s="5" t="s">
        <v>3621</v>
      </c>
      <c r="AK10661" s="5" t="s">
        <v>3625</v>
      </c>
    </row>
    <row r="10662" spans="35:37">
      <c r="AI10662" s="468">
        <v>53034</v>
      </c>
      <c r="AJ10662" s="5" t="s">
        <v>3579</v>
      </c>
      <c r="AK10662" s="5" t="s">
        <v>3627</v>
      </c>
    </row>
    <row r="10663" spans="35:37">
      <c r="AI10663" s="468">
        <v>53035</v>
      </c>
      <c r="AJ10663" s="5" t="s">
        <v>3624</v>
      </c>
      <c r="AK10663" s="5" t="s">
        <v>3618</v>
      </c>
    </row>
    <row r="10664" spans="35:37">
      <c r="AI10664" s="468">
        <v>53036</v>
      </c>
      <c r="AJ10664" s="5" t="s">
        <v>3626</v>
      </c>
      <c r="AK10664" s="5" t="s">
        <v>3620</v>
      </c>
    </row>
    <row r="10665" spans="35:37">
      <c r="AI10665" s="468">
        <v>53037</v>
      </c>
      <c r="AJ10665" s="5" t="s">
        <v>3628</v>
      </c>
      <c r="AK10665" s="5" t="s">
        <v>3622</v>
      </c>
    </row>
    <row r="10666" spans="35:37">
      <c r="AI10666" s="468">
        <v>53038</v>
      </c>
      <c r="AJ10666" s="5" t="s">
        <v>3617</v>
      </c>
      <c r="AK10666" s="5" t="s">
        <v>3623</v>
      </c>
    </row>
    <row r="10667" spans="35:37">
      <c r="AI10667" s="468">
        <v>53039</v>
      </c>
      <c r="AJ10667" s="5" t="s">
        <v>3619</v>
      </c>
      <c r="AK10667" s="5" t="s">
        <v>3625</v>
      </c>
    </row>
    <row r="10668" spans="35:37">
      <c r="AI10668" s="468">
        <v>53040</v>
      </c>
      <c r="AJ10668" s="5" t="s">
        <v>3621</v>
      </c>
      <c r="AK10668" s="5" t="s">
        <v>3618</v>
      </c>
    </row>
    <row r="10669" spans="35:37">
      <c r="AI10669" s="468">
        <v>53041</v>
      </c>
      <c r="AJ10669" s="5" t="s">
        <v>3579</v>
      </c>
      <c r="AK10669" s="5" t="s">
        <v>3620</v>
      </c>
    </row>
    <row r="10670" spans="35:37">
      <c r="AI10670" s="468">
        <v>53042</v>
      </c>
      <c r="AJ10670" s="5" t="s">
        <v>3624</v>
      </c>
      <c r="AK10670" s="5" t="s">
        <v>3622</v>
      </c>
    </row>
    <row r="10671" spans="35:37">
      <c r="AI10671" s="468">
        <v>53043</v>
      </c>
      <c r="AJ10671" s="5" t="s">
        <v>3626</v>
      </c>
      <c r="AK10671" s="5" t="s">
        <v>3623</v>
      </c>
    </row>
    <row r="10672" spans="35:37">
      <c r="AI10672" s="468">
        <v>53044</v>
      </c>
      <c r="AJ10672" s="5" t="s">
        <v>3628</v>
      </c>
      <c r="AK10672" s="5" t="s">
        <v>3625</v>
      </c>
    </row>
    <row r="10673" spans="35:37">
      <c r="AI10673" s="468">
        <v>53045</v>
      </c>
      <c r="AJ10673" s="5" t="s">
        <v>3617</v>
      </c>
      <c r="AK10673" s="5" t="s">
        <v>3627</v>
      </c>
    </row>
    <row r="10674" spans="35:37">
      <c r="AI10674" s="468">
        <v>53046</v>
      </c>
      <c r="AJ10674" s="5" t="s">
        <v>3619</v>
      </c>
      <c r="AK10674" s="5" t="s">
        <v>3618</v>
      </c>
    </row>
    <row r="10675" spans="35:37">
      <c r="AI10675" s="468">
        <v>53047</v>
      </c>
      <c r="AJ10675" s="5" t="s">
        <v>3621</v>
      </c>
      <c r="AK10675" s="5" t="s">
        <v>3620</v>
      </c>
    </row>
    <row r="10676" spans="35:37">
      <c r="AI10676" s="468">
        <v>53048</v>
      </c>
      <c r="AJ10676" s="5" t="s">
        <v>3579</v>
      </c>
      <c r="AK10676" s="5" t="s">
        <v>3622</v>
      </c>
    </row>
    <row r="10677" spans="35:37">
      <c r="AI10677" s="468">
        <v>53049</v>
      </c>
      <c r="AJ10677" s="5" t="s">
        <v>3624</v>
      </c>
      <c r="AK10677" s="5" t="s">
        <v>3623</v>
      </c>
    </row>
    <row r="10678" spans="35:37">
      <c r="AI10678" s="468">
        <v>53050</v>
      </c>
      <c r="AJ10678" s="5" t="s">
        <v>3626</v>
      </c>
      <c r="AK10678" s="5" t="s">
        <v>3625</v>
      </c>
    </row>
    <row r="10679" spans="35:37">
      <c r="AI10679" s="468">
        <v>53051</v>
      </c>
      <c r="AJ10679" s="5" t="s">
        <v>3628</v>
      </c>
      <c r="AK10679" s="5" t="s">
        <v>3627</v>
      </c>
    </row>
    <row r="10680" spans="35:37">
      <c r="AI10680" s="468">
        <v>53052</v>
      </c>
      <c r="AJ10680" s="5" t="s">
        <v>3617</v>
      </c>
      <c r="AK10680" s="5" t="s">
        <v>3618</v>
      </c>
    </row>
    <row r="10681" spans="35:37">
      <c r="AI10681" s="468">
        <v>53053</v>
      </c>
      <c r="AJ10681" s="5" t="s">
        <v>3619</v>
      </c>
      <c r="AK10681" s="5" t="s">
        <v>3620</v>
      </c>
    </row>
    <row r="10682" spans="35:37">
      <c r="AI10682" s="468">
        <v>53054</v>
      </c>
      <c r="AJ10682" s="5" t="s">
        <v>3621</v>
      </c>
      <c r="AK10682" s="5" t="s">
        <v>3622</v>
      </c>
    </row>
    <row r="10683" spans="35:37">
      <c r="AI10683" s="468">
        <v>53055</v>
      </c>
      <c r="AJ10683" s="5" t="s">
        <v>3579</v>
      </c>
      <c r="AK10683" s="5" t="s">
        <v>3623</v>
      </c>
    </row>
    <row r="10684" spans="35:37">
      <c r="AI10684" s="468">
        <v>53056</v>
      </c>
      <c r="AJ10684" s="5" t="s">
        <v>3624</v>
      </c>
      <c r="AK10684" s="5" t="s">
        <v>3625</v>
      </c>
    </row>
    <row r="10685" spans="35:37">
      <c r="AI10685" s="468">
        <v>53057</v>
      </c>
      <c r="AJ10685" s="5" t="s">
        <v>3626</v>
      </c>
      <c r="AK10685" s="5" t="s">
        <v>3627</v>
      </c>
    </row>
    <row r="10686" spans="35:37">
      <c r="AI10686" s="468">
        <v>53058</v>
      </c>
      <c r="AJ10686" s="5" t="s">
        <v>3628</v>
      </c>
      <c r="AK10686" s="5" t="s">
        <v>3618</v>
      </c>
    </row>
    <row r="10687" spans="35:37">
      <c r="AI10687" s="468">
        <v>53059</v>
      </c>
      <c r="AJ10687" s="5" t="s">
        <v>3617</v>
      </c>
      <c r="AK10687" s="5" t="s">
        <v>3620</v>
      </c>
    </row>
    <row r="10688" spans="35:37">
      <c r="AI10688" s="468">
        <v>53060</v>
      </c>
      <c r="AJ10688" s="5" t="s">
        <v>3619</v>
      </c>
      <c r="AK10688" s="5" t="s">
        <v>3622</v>
      </c>
    </row>
    <row r="10689" spans="35:37">
      <c r="AI10689" s="468">
        <v>53061</v>
      </c>
      <c r="AJ10689" s="5" t="s">
        <v>3621</v>
      </c>
      <c r="AK10689" s="5" t="s">
        <v>3623</v>
      </c>
    </row>
    <row r="10690" spans="35:37">
      <c r="AI10690" s="468">
        <v>53062</v>
      </c>
      <c r="AJ10690" s="5" t="s">
        <v>3579</v>
      </c>
      <c r="AK10690" s="5" t="s">
        <v>3625</v>
      </c>
    </row>
    <row r="10691" spans="35:37">
      <c r="AI10691" s="468">
        <v>53063</v>
      </c>
      <c r="AJ10691" s="5" t="s">
        <v>3624</v>
      </c>
      <c r="AK10691" s="5" t="s">
        <v>3627</v>
      </c>
    </row>
    <row r="10692" spans="35:37">
      <c r="AI10692" s="468">
        <v>53064</v>
      </c>
      <c r="AJ10692" s="5" t="s">
        <v>3626</v>
      </c>
      <c r="AK10692" s="5" t="s">
        <v>3618</v>
      </c>
    </row>
    <row r="10693" spans="35:37">
      <c r="AI10693" s="468">
        <v>53065</v>
      </c>
      <c r="AJ10693" s="5" t="s">
        <v>3628</v>
      </c>
      <c r="AK10693" s="5" t="s">
        <v>3620</v>
      </c>
    </row>
    <row r="10694" spans="35:37">
      <c r="AI10694" s="468">
        <v>53066</v>
      </c>
      <c r="AJ10694" s="5" t="s">
        <v>3617</v>
      </c>
      <c r="AK10694" s="5" t="s">
        <v>3622</v>
      </c>
    </row>
    <row r="10695" spans="35:37">
      <c r="AI10695" s="468">
        <v>53067</v>
      </c>
      <c r="AJ10695" s="5" t="s">
        <v>3619</v>
      </c>
      <c r="AK10695" s="5" t="s">
        <v>3623</v>
      </c>
    </row>
    <row r="10696" spans="35:37">
      <c r="AI10696" s="468">
        <v>53068</v>
      </c>
      <c r="AJ10696" s="5" t="s">
        <v>3621</v>
      </c>
      <c r="AK10696" s="5" t="s">
        <v>3625</v>
      </c>
    </row>
    <row r="10697" spans="35:37">
      <c r="AI10697" s="468">
        <v>53069</v>
      </c>
      <c r="AJ10697" s="5" t="s">
        <v>3579</v>
      </c>
      <c r="AK10697" s="5" t="s">
        <v>3620</v>
      </c>
    </row>
    <row r="10698" spans="35:37">
      <c r="AI10698" s="468">
        <v>53070</v>
      </c>
      <c r="AJ10698" s="5" t="s">
        <v>3624</v>
      </c>
      <c r="AK10698" s="5" t="s">
        <v>3622</v>
      </c>
    </row>
    <row r="10699" spans="35:37">
      <c r="AI10699" s="468">
        <v>53071</v>
      </c>
      <c r="AJ10699" s="5" t="s">
        <v>3626</v>
      </c>
      <c r="AK10699" s="5" t="s">
        <v>3623</v>
      </c>
    </row>
    <row r="10700" spans="35:37">
      <c r="AI10700" s="468">
        <v>53072</v>
      </c>
      <c r="AJ10700" s="5" t="s">
        <v>3628</v>
      </c>
      <c r="AK10700" s="5" t="s">
        <v>3625</v>
      </c>
    </row>
    <row r="10701" spans="35:37">
      <c r="AI10701" s="468">
        <v>53073</v>
      </c>
      <c r="AJ10701" s="5" t="s">
        <v>3617</v>
      </c>
      <c r="AK10701" s="5" t="s">
        <v>3627</v>
      </c>
    </row>
    <row r="10702" spans="35:37">
      <c r="AI10702" s="468">
        <v>53074</v>
      </c>
      <c r="AJ10702" s="5" t="s">
        <v>3619</v>
      </c>
      <c r="AK10702" s="5" t="s">
        <v>3618</v>
      </c>
    </row>
    <row r="10703" spans="35:37">
      <c r="AI10703" s="468">
        <v>53075</v>
      </c>
      <c r="AJ10703" s="5" t="s">
        <v>3621</v>
      </c>
      <c r="AK10703" s="5" t="s">
        <v>3620</v>
      </c>
    </row>
    <row r="10704" spans="35:37">
      <c r="AI10704" s="468">
        <v>53076</v>
      </c>
      <c r="AJ10704" s="5" t="s">
        <v>3579</v>
      </c>
      <c r="AK10704" s="5" t="s">
        <v>3622</v>
      </c>
    </row>
    <row r="10705" spans="35:37">
      <c r="AI10705" s="468">
        <v>53077</v>
      </c>
      <c r="AJ10705" s="5" t="s">
        <v>3624</v>
      </c>
      <c r="AK10705" s="5" t="s">
        <v>3623</v>
      </c>
    </row>
    <row r="10706" spans="35:37">
      <c r="AI10706" s="468">
        <v>53078</v>
      </c>
      <c r="AJ10706" s="5" t="s">
        <v>3626</v>
      </c>
      <c r="AK10706" s="5" t="s">
        <v>3625</v>
      </c>
    </row>
    <row r="10707" spans="35:37">
      <c r="AI10707" s="468">
        <v>53079</v>
      </c>
      <c r="AJ10707" s="5" t="s">
        <v>3628</v>
      </c>
      <c r="AK10707" s="5" t="s">
        <v>3627</v>
      </c>
    </row>
    <row r="10708" spans="35:37">
      <c r="AI10708" s="468">
        <v>53080</v>
      </c>
      <c r="AJ10708" s="5" t="s">
        <v>3617</v>
      </c>
      <c r="AK10708" s="5" t="s">
        <v>3618</v>
      </c>
    </row>
    <row r="10709" spans="35:37">
      <c r="AI10709" s="468">
        <v>53081</v>
      </c>
      <c r="AJ10709" s="5" t="s">
        <v>3619</v>
      </c>
      <c r="AK10709" s="5" t="s">
        <v>3620</v>
      </c>
    </row>
    <row r="10710" spans="35:37">
      <c r="AI10710" s="468">
        <v>53082</v>
      </c>
      <c r="AJ10710" s="5" t="s">
        <v>3621</v>
      </c>
      <c r="AK10710" s="5" t="s">
        <v>3622</v>
      </c>
    </row>
    <row r="10711" spans="35:37">
      <c r="AI10711" s="468">
        <v>53083</v>
      </c>
      <c r="AJ10711" s="5" t="s">
        <v>3579</v>
      </c>
      <c r="AK10711" s="5" t="s">
        <v>3623</v>
      </c>
    </row>
    <row r="10712" spans="35:37">
      <c r="AI10712" s="468">
        <v>53084</v>
      </c>
      <c r="AJ10712" s="5" t="s">
        <v>3624</v>
      </c>
      <c r="AK10712" s="5" t="s">
        <v>3625</v>
      </c>
    </row>
    <row r="10713" spans="35:37">
      <c r="AI10713" s="468">
        <v>53085</v>
      </c>
      <c r="AJ10713" s="5" t="s">
        <v>3626</v>
      </c>
      <c r="AK10713" s="5" t="s">
        <v>3627</v>
      </c>
    </row>
    <row r="10714" spans="35:37">
      <c r="AI10714" s="468">
        <v>53086</v>
      </c>
      <c r="AJ10714" s="5" t="s">
        <v>3628</v>
      </c>
      <c r="AK10714" s="5" t="s">
        <v>3618</v>
      </c>
    </row>
    <row r="10715" spans="35:37">
      <c r="AI10715" s="468">
        <v>53087</v>
      </c>
      <c r="AJ10715" s="5" t="s">
        <v>3617</v>
      </c>
      <c r="AK10715" s="5" t="s">
        <v>3620</v>
      </c>
    </row>
    <row r="10716" spans="35:37">
      <c r="AI10716" s="468">
        <v>53088</v>
      </c>
      <c r="AJ10716" s="5" t="s">
        <v>3619</v>
      </c>
      <c r="AK10716" s="5" t="s">
        <v>3622</v>
      </c>
    </row>
    <row r="10717" spans="35:37">
      <c r="AI10717" s="468">
        <v>53089</v>
      </c>
      <c r="AJ10717" s="5" t="s">
        <v>3621</v>
      </c>
      <c r="AK10717" s="5" t="s">
        <v>3623</v>
      </c>
    </row>
    <row r="10718" spans="35:37">
      <c r="AI10718" s="468">
        <v>53090</v>
      </c>
      <c r="AJ10718" s="5" t="s">
        <v>3579</v>
      </c>
      <c r="AK10718" s="5" t="s">
        <v>3625</v>
      </c>
    </row>
    <row r="10719" spans="35:37">
      <c r="AI10719" s="468">
        <v>53091</v>
      </c>
      <c r="AJ10719" s="5" t="s">
        <v>3624</v>
      </c>
      <c r="AK10719" s="5" t="s">
        <v>3627</v>
      </c>
    </row>
    <row r="10720" spans="35:37">
      <c r="AI10720" s="468">
        <v>53092</v>
      </c>
      <c r="AJ10720" s="5" t="s">
        <v>3626</v>
      </c>
      <c r="AK10720" s="5" t="s">
        <v>3618</v>
      </c>
    </row>
    <row r="10721" spans="35:37">
      <c r="AI10721" s="468">
        <v>53093</v>
      </c>
      <c r="AJ10721" s="5" t="s">
        <v>3628</v>
      </c>
      <c r="AK10721" s="5" t="s">
        <v>3620</v>
      </c>
    </row>
    <row r="10722" spans="35:37">
      <c r="AI10722" s="468">
        <v>53094</v>
      </c>
      <c r="AJ10722" s="5" t="s">
        <v>3617</v>
      </c>
      <c r="AK10722" s="5" t="s">
        <v>3622</v>
      </c>
    </row>
    <row r="10723" spans="35:37">
      <c r="AI10723" s="468">
        <v>53095</v>
      </c>
      <c r="AJ10723" s="5" t="s">
        <v>3619</v>
      </c>
      <c r="AK10723" s="5" t="s">
        <v>3623</v>
      </c>
    </row>
    <row r="10724" spans="35:37">
      <c r="AI10724" s="468">
        <v>53096</v>
      </c>
      <c r="AJ10724" s="5" t="s">
        <v>3621</v>
      </c>
      <c r="AK10724" s="5" t="s">
        <v>3625</v>
      </c>
    </row>
    <row r="10725" spans="35:37">
      <c r="AI10725" s="468">
        <v>53097</v>
      </c>
      <c r="AJ10725" s="5" t="s">
        <v>3579</v>
      </c>
      <c r="AK10725" s="5" t="s">
        <v>3627</v>
      </c>
    </row>
    <row r="10726" spans="35:37">
      <c r="AI10726" s="468">
        <v>53098</v>
      </c>
      <c r="AJ10726" s="5" t="s">
        <v>3624</v>
      </c>
      <c r="AK10726" s="5" t="s">
        <v>3618</v>
      </c>
    </row>
    <row r="10727" spans="35:37">
      <c r="AI10727" s="468">
        <v>53099</v>
      </c>
      <c r="AJ10727" s="5" t="s">
        <v>3626</v>
      </c>
      <c r="AK10727" s="5" t="s">
        <v>3622</v>
      </c>
    </row>
    <row r="10728" spans="35:37">
      <c r="AI10728" s="468">
        <v>53100</v>
      </c>
      <c r="AJ10728" s="5" t="s">
        <v>3628</v>
      </c>
      <c r="AK10728" s="5" t="s">
        <v>3623</v>
      </c>
    </row>
    <row r="10729" spans="35:37">
      <c r="AI10729" s="468">
        <v>53101</v>
      </c>
      <c r="AJ10729" s="5" t="s">
        <v>3617</v>
      </c>
      <c r="AK10729" s="5" t="s">
        <v>3625</v>
      </c>
    </row>
    <row r="10730" spans="35:37">
      <c r="AI10730" s="468">
        <v>53102</v>
      </c>
      <c r="AJ10730" s="5" t="s">
        <v>3619</v>
      </c>
      <c r="AK10730" s="5" t="s">
        <v>3627</v>
      </c>
    </row>
    <row r="10731" spans="35:37">
      <c r="AI10731" s="468">
        <v>53103</v>
      </c>
      <c r="AJ10731" s="5" t="s">
        <v>3621</v>
      </c>
      <c r="AK10731" s="5" t="s">
        <v>3618</v>
      </c>
    </row>
    <row r="10732" spans="35:37">
      <c r="AI10732" s="468">
        <v>53104</v>
      </c>
      <c r="AJ10732" s="5" t="s">
        <v>3579</v>
      </c>
      <c r="AK10732" s="5" t="s">
        <v>3620</v>
      </c>
    </row>
    <row r="10733" spans="35:37">
      <c r="AI10733" s="468">
        <v>53105</v>
      </c>
      <c r="AJ10733" s="5" t="s">
        <v>3624</v>
      </c>
      <c r="AK10733" s="5" t="s">
        <v>3622</v>
      </c>
    </row>
    <row r="10734" spans="35:37">
      <c r="AI10734" s="468">
        <v>53106</v>
      </c>
      <c r="AJ10734" s="5" t="s">
        <v>3626</v>
      </c>
      <c r="AK10734" s="5" t="s">
        <v>3623</v>
      </c>
    </row>
    <row r="10735" spans="35:37">
      <c r="AI10735" s="468">
        <v>53107</v>
      </c>
      <c r="AJ10735" s="5" t="s">
        <v>3628</v>
      </c>
      <c r="AK10735" s="5" t="s">
        <v>3625</v>
      </c>
    </row>
    <row r="10736" spans="35:37">
      <c r="AI10736" s="468">
        <v>53108</v>
      </c>
      <c r="AJ10736" s="5" t="s">
        <v>3617</v>
      </c>
      <c r="AK10736" s="5" t="s">
        <v>3627</v>
      </c>
    </row>
    <row r="10737" spans="35:37">
      <c r="AI10737" s="468">
        <v>53109</v>
      </c>
      <c r="AJ10737" s="5" t="s">
        <v>3619</v>
      </c>
      <c r="AK10737" s="5" t="s">
        <v>3618</v>
      </c>
    </row>
    <row r="10738" spans="35:37">
      <c r="AI10738" s="468">
        <v>53110</v>
      </c>
      <c r="AJ10738" s="5" t="s">
        <v>3621</v>
      </c>
      <c r="AK10738" s="5" t="s">
        <v>3620</v>
      </c>
    </row>
    <row r="10739" spans="35:37">
      <c r="AI10739" s="468">
        <v>53111</v>
      </c>
      <c r="AJ10739" s="5" t="s">
        <v>3579</v>
      </c>
      <c r="AK10739" s="5" t="s">
        <v>3622</v>
      </c>
    </row>
    <row r="10740" spans="35:37">
      <c r="AI10740" s="468">
        <v>53112</v>
      </c>
      <c r="AJ10740" s="5" t="s">
        <v>3624</v>
      </c>
      <c r="AK10740" s="5" t="s">
        <v>3623</v>
      </c>
    </row>
    <row r="10741" spans="35:37">
      <c r="AI10741" s="468">
        <v>53113</v>
      </c>
      <c r="AJ10741" s="5" t="s">
        <v>3626</v>
      </c>
      <c r="AK10741" s="5" t="s">
        <v>3625</v>
      </c>
    </row>
    <row r="10742" spans="35:37">
      <c r="AI10742" s="468">
        <v>53114</v>
      </c>
      <c r="AJ10742" s="5" t="s">
        <v>3628</v>
      </c>
      <c r="AK10742" s="5" t="s">
        <v>3627</v>
      </c>
    </row>
    <row r="10743" spans="35:37">
      <c r="AI10743" s="468">
        <v>53115</v>
      </c>
      <c r="AJ10743" s="5" t="s">
        <v>3617</v>
      </c>
      <c r="AK10743" s="5" t="s">
        <v>3618</v>
      </c>
    </row>
    <row r="10744" spans="35:37">
      <c r="AI10744" s="468">
        <v>53116</v>
      </c>
      <c r="AJ10744" s="5" t="s">
        <v>3619</v>
      </c>
      <c r="AK10744" s="5" t="s">
        <v>3620</v>
      </c>
    </row>
    <row r="10745" spans="35:37">
      <c r="AI10745" s="468">
        <v>53117</v>
      </c>
      <c r="AJ10745" s="5" t="s">
        <v>3621</v>
      </c>
      <c r="AK10745" s="5" t="s">
        <v>3622</v>
      </c>
    </row>
    <row r="10746" spans="35:37">
      <c r="AI10746" s="468">
        <v>53118</v>
      </c>
      <c r="AJ10746" s="5" t="s">
        <v>3579</v>
      </c>
      <c r="AK10746" s="5" t="s">
        <v>3623</v>
      </c>
    </row>
    <row r="10747" spans="35:37">
      <c r="AI10747" s="468">
        <v>53119</v>
      </c>
      <c r="AJ10747" s="5" t="s">
        <v>3624</v>
      </c>
      <c r="AK10747" s="5" t="s">
        <v>3625</v>
      </c>
    </row>
    <row r="10748" spans="35:37">
      <c r="AI10748" s="468">
        <v>53120</v>
      </c>
      <c r="AJ10748" s="5" t="s">
        <v>3626</v>
      </c>
      <c r="AK10748" s="5" t="s">
        <v>3627</v>
      </c>
    </row>
    <row r="10749" spans="35:37">
      <c r="AI10749" s="468">
        <v>53121</v>
      </c>
      <c r="AJ10749" s="5" t="s">
        <v>3628</v>
      </c>
      <c r="AK10749" s="5" t="s">
        <v>3618</v>
      </c>
    </row>
    <row r="10750" spans="35:37">
      <c r="AI10750" s="468">
        <v>53122</v>
      </c>
      <c r="AJ10750" s="5" t="s">
        <v>3617</v>
      </c>
      <c r="AK10750" s="5" t="s">
        <v>3620</v>
      </c>
    </row>
    <row r="10751" spans="35:37">
      <c r="AI10751" s="468">
        <v>53123</v>
      </c>
      <c r="AJ10751" s="5" t="s">
        <v>3619</v>
      </c>
      <c r="AK10751" s="5" t="s">
        <v>3622</v>
      </c>
    </row>
    <row r="10752" spans="35:37">
      <c r="AI10752" s="468">
        <v>53124</v>
      </c>
      <c r="AJ10752" s="5" t="s">
        <v>3621</v>
      </c>
      <c r="AK10752" s="5" t="s">
        <v>3623</v>
      </c>
    </row>
    <row r="10753" spans="35:37">
      <c r="AI10753" s="468">
        <v>53125</v>
      </c>
      <c r="AJ10753" s="5" t="s">
        <v>3579</v>
      </c>
      <c r="AK10753" s="5" t="s">
        <v>3625</v>
      </c>
    </row>
    <row r="10754" spans="35:37">
      <c r="AI10754" s="468">
        <v>53126</v>
      </c>
      <c r="AJ10754" s="5" t="s">
        <v>3624</v>
      </c>
      <c r="AK10754" s="5" t="s">
        <v>3627</v>
      </c>
    </row>
    <row r="10755" spans="35:37">
      <c r="AI10755" s="468">
        <v>53127</v>
      </c>
      <c r="AJ10755" s="5" t="s">
        <v>3626</v>
      </c>
      <c r="AK10755" s="5" t="s">
        <v>3618</v>
      </c>
    </row>
    <row r="10756" spans="35:37">
      <c r="AI10756" s="468">
        <v>53128</v>
      </c>
      <c r="AJ10756" s="5" t="s">
        <v>3628</v>
      </c>
      <c r="AK10756" s="5" t="s">
        <v>3623</v>
      </c>
    </row>
    <row r="10757" spans="35:37">
      <c r="AI10757" s="468">
        <v>53129</v>
      </c>
      <c r="AJ10757" s="5" t="s">
        <v>3617</v>
      </c>
      <c r="AK10757" s="5" t="s">
        <v>3625</v>
      </c>
    </row>
    <row r="10758" spans="35:37">
      <c r="AI10758" s="468">
        <v>53130</v>
      </c>
      <c r="AJ10758" s="5" t="s">
        <v>3619</v>
      </c>
      <c r="AK10758" s="5" t="s">
        <v>3627</v>
      </c>
    </row>
    <row r="10759" spans="35:37">
      <c r="AI10759" s="468">
        <v>53131</v>
      </c>
      <c r="AJ10759" s="5" t="s">
        <v>3621</v>
      </c>
      <c r="AK10759" s="5" t="s">
        <v>3618</v>
      </c>
    </row>
    <row r="10760" spans="35:37">
      <c r="AI10760" s="468">
        <v>53132</v>
      </c>
      <c r="AJ10760" s="5" t="s">
        <v>3579</v>
      </c>
      <c r="AK10760" s="5" t="s">
        <v>3620</v>
      </c>
    </row>
    <row r="10761" spans="35:37">
      <c r="AI10761" s="468">
        <v>53133</v>
      </c>
      <c r="AJ10761" s="5" t="s">
        <v>3624</v>
      </c>
      <c r="AK10761" s="5" t="s">
        <v>3622</v>
      </c>
    </row>
    <row r="10762" spans="35:37">
      <c r="AI10762" s="468">
        <v>53134</v>
      </c>
      <c r="AJ10762" s="5" t="s">
        <v>3626</v>
      </c>
      <c r="AK10762" s="5" t="s">
        <v>3623</v>
      </c>
    </row>
    <row r="10763" spans="35:37">
      <c r="AI10763" s="468">
        <v>53135</v>
      </c>
      <c r="AJ10763" s="5" t="s">
        <v>3628</v>
      </c>
      <c r="AK10763" s="5" t="s">
        <v>3625</v>
      </c>
    </row>
    <row r="10764" spans="35:37">
      <c r="AI10764" s="468">
        <v>53136</v>
      </c>
      <c r="AJ10764" s="5" t="s">
        <v>3617</v>
      </c>
      <c r="AK10764" s="5" t="s">
        <v>3627</v>
      </c>
    </row>
    <row r="10765" spans="35:37">
      <c r="AI10765" s="468">
        <v>53137</v>
      </c>
      <c r="AJ10765" s="5" t="s">
        <v>3619</v>
      </c>
      <c r="AK10765" s="5" t="s">
        <v>3618</v>
      </c>
    </row>
    <row r="10766" spans="35:37">
      <c r="AI10766" s="468">
        <v>53138</v>
      </c>
      <c r="AJ10766" s="5" t="s">
        <v>3621</v>
      </c>
      <c r="AK10766" s="5" t="s">
        <v>3620</v>
      </c>
    </row>
    <row r="10767" spans="35:37">
      <c r="AI10767" s="468">
        <v>53139</v>
      </c>
      <c r="AJ10767" s="5" t="s">
        <v>3579</v>
      </c>
      <c r="AK10767" s="5" t="s">
        <v>3622</v>
      </c>
    </row>
    <row r="10768" spans="35:37">
      <c r="AI10768" s="468">
        <v>53140</v>
      </c>
      <c r="AJ10768" s="5" t="s">
        <v>3624</v>
      </c>
      <c r="AK10768" s="5" t="s">
        <v>3623</v>
      </c>
    </row>
    <row r="10769" spans="35:37">
      <c r="AI10769" s="468">
        <v>53141</v>
      </c>
      <c r="AJ10769" s="5" t="s">
        <v>3626</v>
      </c>
      <c r="AK10769" s="5" t="s">
        <v>3625</v>
      </c>
    </row>
    <row r="10770" spans="35:37">
      <c r="AI10770" s="468">
        <v>53142</v>
      </c>
      <c r="AJ10770" s="5" t="s">
        <v>3628</v>
      </c>
      <c r="AK10770" s="5" t="s">
        <v>3627</v>
      </c>
    </row>
    <row r="10771" spans="35:37">
      <c r="AI10771" s="468">
        <v>53143</v>
      </c>
      <c r="AJ10771" s="5" t="s">
        <v>3617</v>
      </c>
      <c r="AK10771" s="5" t="s">
        <v>3618</v>
      </c>
    </row>
    <row r="10772" spans="35:37">
      <c r="AI10772" s="468">
        <v>53144</v>
      </c>
      <c r="AJ10772" s="5" t="s">
        <v>3619</v>
      </c>
      <c r="AK10772" s="5" t="s">
        <v>3620</v>
      </c>
    </row>
    <row r="10773" spans="35:37">
      <c r="AI10773" s="468">
        <v>53145</v>
      </c>
      <c r="AJ10773" s="5" t="s">
        <v>3621</v>
      </c>
      <c r="AK10773" s="5" t="s">
        <v>3622</v>
      </c>
    </row>
    <row r="10774" spans="35:37">
      <c r="AI10774" s="468">
        <v>53146</v>
      </c>
      <c r="AJ10774" s="5" t="s">
        <v>3579</v>
      </c>
      <c r="AK10774" s="5" t="s">
        <v>3623</v>
      </c>
    </row>
    <row r="10775" spans="35:37">
      <c r="AI10775" s="468">
        <v>53147</v>
      </c>
      <c r="AJ10775" s="5" t="s">
        <v>3624</v>
      </c>
      <c r="AK10775" s="5" t="s">
        <v>3625</v>
      </c>
    </row>
    <row r="10776" spans="35:37">
      <c r="AI10776" s="468">
        <v>53148</v>
      </c>
      <c r="AJ10776" s="5" t="s">
        <v>3626</v>
      </c>
      <c r="AK10776" s="5" t="s">
        <v>3627</v>
      </c>
    </row>
    <row r="10777" spans="35:37">
      <c r="AI10777" s="468">
        <v>53149</v>
      </c>
      <c r="AJ10777" s="5" t="s">
        <v>3628</v>
      </c>
      <c r="AK10777" s="5" t="s">
        <v>3618</v>
      </c>
    </row>
    <row r="10778" spans="35:37">
      <c r="AI10778" s="468">
        <v>53150</v>
      </c>
      <c r="AJ10778" s="5" t="s">
        <v>3617</v>
      </c>
      <c r="AK10778" s="5" t="s">
        <v>3620</v>
      </c>
    </row>
    <row r="10779" spans="35:37">
      <c r="AI10779" s="468">
        <v>53151</v>
      </c>
      <c r="AJ10779" s="5" t="s">
        <v>3619</v>
      </c>
      <c r="AK10779" s="5" t="s">
        <v>3622</v>
      </c>
    </row>
    <row r="10780" spans="35:37">
      <c r="AI10780" s="468">
        <v>53152</v>
      </c>
      <c r="AJ10780" s="5" t="s">
        <v>3621</v>
      </c>
      <c r="AK10780" s="5" t="s">
        <v>3623</v>
      </c>
    </row>
    <row r="10781" spans="35:37">
      <c r="AI10781" s="468">
        <v>53153</v>
      </c>
      <c r="AJ10781" s="5" t="s">
        <v>3579</v>
      </c>
      <c r="AK10781" s="5" t="s">
        <v>3625</v>
      </c>
    </row>
    <row r="10782" spans="35:37">
      <c r="AI10782" s="468">
        <v>53154</v>
      </c>
      <c r="AJ10782" s="5" t="s">
        <v>3624</v>
      </c>
      <c r="AK10782" s="5" t="s">
        <v>3627</v>
      </c>
    </row>
    <row r="10783" spans="35:37">
      <c r="AI10783" s="468">
        <v>53155</v>
      </c>
      <c r="AJ10783" s="5" t="s">
        <v>3626</v>
      </c>
      <c r="AK10783" s="5" t="s">
        <v>3618</v>
      </c>
    </row>
    <row r="10784" spans="35:37">
      <c r="AI10784" s="468">
        <v>53156</v>
      </c>
      <c r="AJ10784" s="5" t="s">
        <v>3628</v>
      </c>
      <c r="AK10784" s="5" t="s">
        <v>3620</v>
      </c>
    </row>
    <row r="10785" spans="35:37">
      <c r="AI10785" s="468">
        <v>53157</v>
      </c>
      <c r="AJ10785" s="5" t="s">
        <v>3617</v>
      </c>
      <c r="AK10785" s="5" t="s">
        <v>3625</v>
      </c>
    </row>
    <row r="10786" spans="35:37">
      <c r="AI10786" s="468">
        <v>53158</v>
      </c>
      <c r="AJ10786" s="5" t="s">
        <v>3619</v>
      </c>
      <c r="AK10786" s="5" t="s">
        <v>3627</v>
      </c>
    </row>
    <row r="10787" spans="35:37">
      <c r="AI10787" s="468">
        <v>53159</v>
      </c>
      <c r="AJ10787" s="5" t="s">
        <v>3621</v>
      </c>
      <c r="AK10787" s="5" t="s">
        <v>3618</v>
      </c>
    </row>
    <row r="10788" spans="35:37">
      <c r="AI10788" s="468">
        <v>53160</v>
      </c>
      <c r="AJ10788" s="5" t="s">
        <v>3579</v>
      </c>
      <c r="AK10788" s="5" t="s">
        <v>3620</v>
      </c>
    </row>
    <row r="10789" spans="35:37">
      <c r="AI10789" s="468">
        <v>53161</v>
      </c>
      <c r="AJ10789" s="5" t="s">
        <v>3624</v>
      </c>
      <c r="AK10789" s="5" t="s">
        <v>3622</v>
      </c>
    </row>
    <row r="10790" spans="35:37">
      <c r="AI10790" s="468">
        <v>53162</v>
      </c>
      <c r="AJ10790" s="5" t="s">
        <v>3626</v>
      </c>
      <c r="AK10790" s="5" t="s">
        <v>3623</v>
      </c>
    </row>
    <row r="10791" spans="35:37">
      <c r="AI10791" s="468">
        <v>53163</v>
      </c>
      <c r="AJ10791" s="5" t="s">
        <v>3628</v>
      </c>
      <c r="AK10791" s="5" t="s">
        <v>3625</v>
      </c>
    </row>
    <row r="10792" spans="35:37">
      <c r="AI10792" s="468">
        <v>53164</v>
      </c>
      <c r="AJ10792" s="5" t="s">
        <v>3617</v>
      </c>
      <c r="AK10792" s="5" t="s">
        <v>3627</v>
      </c>
    </row>
    <row r="10793" spans="35:37">
      <c r="AI10793" s="468">
        <v>53165</v>
      </c>
      <c r="AJ10793" s="5" t="s">
        <v>3619</v>
      </c>
      <c r="AK10793" s="5" t="s">
        <v>3618</v>
      </c>
    </row>
    <row r="10794" spans="35:37">
      <c r="AI10794" s="468">
        <v>53166</v>
      </c>
      <c r="AJ10794" s="5" t="s">
        <v>3621</v>
      </c>
      <c r="AK10794" s="5" t="s">
        <v>3620</v>
      </c>
    </row>
    <row r="10795" spans="35:37">
      <c r="AI10795" s="468">
        <v>53167</v>
      </c>
      <c r="AJ10795" s="5" t="s">
        <v>3579</v>
      </c>
      <c r="AK10795" s="5" t="s">
        <v>3622</v>
      </c>
    </row>
    <row r="10796" spans="35:37">
      <c r="AI10796" s="468">
        <v>53168</v>
      </c>
      <c r="AJ10796" s="5" t="s">
        <v>3624</v>
      </c>
      <c r="AK10796" s="5" t="s">
        <v>3623</v>
      </c>
    </row>
    <row r="10797" spans="35:37">
      <c r="AI10797" s="468">
        <v>53169</v>
      </c>
      <c r="AJ10797" s="5" t="s">
        <v>3626</v>
      </c>
      <c r="AK10797" s="5" t="s">
        <v>3625</v>
      </c>
    </row>
    <row r="10798" spans="35:37">
      <c r="AI10798" s="468">
        <v>53170</v>
      </c>
      <c r="AJ10798" s="5" t="s">
        <v>3628</v>
      </c>
      <c r="AK10798" s="5" t="s">
        <v>3627</v>
      </c>
    </row>
    <row r="10799" spans="35:37">
      <c r="AI10799" s="468">
        <v>53171</v>
      </c>
      <c r="AJ10799" s="5" t="s">
        <v>3617</v>
      </c>
      <c r="AK10799" s="5" t="s">
        <v>3618</v>
      </c>
    </row>
    <row r="10800" spans="35:37">
      <c r="AI10800" s="468">
        <v>53172</v>
      </c>
      <c r="AJ10800" s="5" t="s">
        <v>3619</v>
      </c>
      <c r="AK10800" s="5" t="s">
        <v>3620</v>
      </c>
    </row>
    <row r="10801" spans="35:37">
      <c r="AI10801" s="468">
        <v>53173</v>
      </c>
      <c r="AJ10801" s="5" t="s">
        <v>3621</v>
      </c>
      <c r="AK10801" s="5" t="s">
        <v>3622</v>
      </c>
    </row>
    <row r="10802" spans="35:37">
      <c r="AI10802" s="468">
        <v>53174</v>
      </c>
      <c r="AJ10802" s="5" t="s">
        <v>3579</v>
      </c>
      <c r="AK10802" s="5" t="s">
        <v>3623</v>
      </c>
    </row>
    <row r="10803" spans="35:37">
      <c r="AI10803" s="468">
        <v>53175</v>
      </c>
      <c r="AJ10803" s="5" t="s">
        <v>3624</v>
      </c>
      <c r="AK10803" s="5" t="s">
        <v>3625</v>
      </c>
    </row>
    <row r="10804" spans="35:37">
      <c r="AI10804" s="468">
        <v>53176</v>
      </c>
      <c r="AJ10804" s="5" t="s">
        <v>3626</v>
      </c>
      <c r="AK10804" s="5" t="s">
        <v>3627</v>
      </c>
    </row>
    <row r="10805" spans="35:37">
      <c r="AI10805" s="468">
        <v>53177</v>
      </c>
      <c r="AJ10805" s="5" t="s">
        <v>3628</v>
      </c>
      <c r="AK10805" s="5" t="s">
        <v>3618</v>
      </c>
    </row>
    <row r="10806" spans="35:37">
      <c r="AI10806" s="468">
        <v>53178</v>
      </c>
      <c r="AJ10806" s="5" t="s">
        <v>3617</v>
      </c>
      <c r="AK10806" s="5" t="s">
        <v>3620</v>
      </c>
    </row>
    <row r="10807" spans="35:37">
      <c r="AI10807" s="468">
        <v>53179</v>
      </c>
      <c r="AJ10807" s="5" t="s">
        <v>3619</v>
      </c>
      <c r="AK10807" s="5" t="s">
        <v>3622</v>
      </c>
    </row>
    <row r="10808" spans="35:37">
      <c r="AI10808" s="468">
        <v>53180</v>
      </c>
      <c r="AJ10808" s="5" t="s">
        <v>3621</v>
      </c>
      <c r="AK10808" s="5" t="s">
        <v>3623</v>
      </c>
    </row>
    <row r="10809" spans="35:37">
      <c r="AI10809" s="468">
        <v>53181</v>
      </c>
      <c r="AJ10809" s="5" t="s">
        <v>3579</v>
      </c>
      <c r="AK10809" s="5" t="s">
        <v>3625</v>
      </c>
    </row>
    <row r="10810" spans="35:37">
      <c r="AI10810" s="468">
        <v>53182</v>
      </c>
      <c r="AJ10810" s="5" t="s">
        <v>3624</v>
      </c>
      <c r="AK10810" s="5" t="s">
        <v>3627</v>
      </c>
    </row>
    <row r="10811" spans="35:37">
      <c r="AI10811" s="468">
        <v>53183</v>
      </c>
      <c r="AJ10811" s="5" t="s">
        <v>3626</v>
      </c>
      <c r="AK10811" s="5" t="s">
        <v>3618</v>
      </c>
    </row>
    <row r="10812" spans="35:37">
      <c r="AI10812" s="468">
        <v>53184</v>
      </c>
      <c r="AJ10812" s="5" t="s">
        <v>3628</v>
      </c>
      <c r="AK10812" s="5" t="s">
        <v>3620</v>
      </c>
    </row>
    <row r="10813" spans="35:37">
      <c r="AI10813" s="468">
        <v>53185</v>
      </c>
      <c r="AJ10813" s="5" t="s">
        <v>3617</v>
      </c>
      <c r="AK10813" s="5" t="s">
        <v>3622</v>
      </c>
    </row>
    <row r="10814" spans="35:37">
      <c r="AI10814" s="468">
        <v>53186</v>
      </c>
      <c r="AJ10814" s="5" t="s">
        <v>3619</v>
      </c>
      <c r="AK10814" s="5" t="s">
        <v>3623</v>
      </c>
    </row>
    <row r="10815" spans="35:37">
      <c r="AI10815" s="468">
        <v>53187</v>
      </c>
      <c r="AJ10815" s="5" t="s">
        <v>3621</v>
      </c>
      <c r="AK10815" s="5" t="s">
        <v>3627</v>
      </c>
    </row>
    <row r="10816" spans="35:37">
      <c r="AI10816" s="468">
        <v>53188</v>
      </c>
      <c r="AJ10816" s="5" t="s">
        <v>3579</v>
      </c>
      <c r="AK10816" s="5" t="s">
        <v>3618</v>
      </c>
    </row>
    <row r="10817" spans="35:37">
      <c r="AI10817" s="468">
        <v>53189</v>
      </c>
      <c r="AJ10817" s="5" t="s">
        <v>3624</v>
      </c>
      <c r="AK10817" s="5" t="s">
        <v>3620</v>
      </c>
    </row>
    <row r="10818" spans="35:37">
      <c r="AI10818" s="468">
        <v>53190</v>
      </c>
      <c r="AJ10818" s="5" t="s">
        <v>3626</v>
      </c>
      <c r="AK10818" s="5" t="s">
        <v>3622</v>
      </c>
    </row>
    <row r="10819" spans="35:37">
      <c r="AI10819" s="468">
        <v>53191</v>
      </c>
      <c r="AJ10819" s="5" t="s">
        <v>3628</v>
      </c>
      <c r="AK10819" s="5" t="s">
        <v>3623</v>
      </c>
    </row>
    <row r="10820" spans="35:37">
      <c r="AI10820" s="468">
        <v>53192</v>
      </c>
      <c r="AJ10820" s="5" t="s">
        <v>3617</v>
      </c>
      <c r="AK10820" s="5" t="s">
        <v>3625</v>
      </c>
    </row>
    <row r="10821" spans="35:37">
      <c r="AI10821" s="468">
        <v>53193</v>
      </c>
      <c r="AJ10821" s="5" t="s">
        <v>3619</v>
      </c>
      <c r="AK10821" s="5" t="s">
        <v>3627</v>
      </c>
    </row>
    <row r="10822" spans="35:37">
      <c r="AI10822" s="468">
        <v>53194</v>
      </c>
      <c r="AJ10822" s="5" t="s">
        <v>3621</v>
      </c>
      <c r="AK10822" s="5" t="s">
        <v>3618</v>
      </c>
    </row>
    <row r="10823" spans="35:37">
      <c r="AI10823" s="468">
        <v>53195</v>
      </c>
      <c r="AJ10823" s="5" t="s">
        <v>3579</v>
      </c>
      <c r="AK10823" s="5" t="s">
        <v>3620</v>
      </c>
    </row>
    <row r="10824" spans="35:37">
      <c r="AI10824" s="468">
        <v>53196</v>
      </c>
      <c r="AJ10824" s="5" t="s">
        <v>3624</v>
      </c>
      <c r="AK10824" s="5" t="s">
        <v>3622</v>
      </c>
    </row>
    <row r="10825" spans="35:37">
      <c r="AI10825" s="468">
        <v>53197</v>
      </c>
      <c r="AJ10825" s="5" t="s">
        <v>3626</v>
      </c>
      <c r="AK10825" s="5" t="s">
        <v>3623</v>
      </c>
    </row>
    <row r="10826" spans="35:37">
      <c r="AI10826" s="468">
        <v>53198</v>
      </c>
      <c r="AJ10826" s="5" t="s">
        <v>3628</v>
      </c>
      <c r="AK10826" s="5" t="s">
        <v>3625</v>
      </c>
    </row>
    <row r="10827" spans="35:37">
      <c r="AI10827" s="468">
        <v>53199</v>
      </c>
      <c r="AJ10827" s="5" t="s">
        <v>3617</v>
      </c>
      <c r="AK10827" s="5" t="s">
        <v>3627</v>
      </c>
    </row>
    <row r="10828" spans="35:37">
      <c r="AI10828" s="468">
        <v>53200</v>
      </c>
      <c r="AJ10828" s="5" t="s">
        <v>3619</v>
      </c>
      <c r="AK10828" s="5" t="s">
        <v>3618</v>
      </c>
    </row>
    <row r="10829" spans="35:37">
      <c r="AI10829" s="468">
        <v>53201</v>
      </c>
      <c r="AJ10829" s="5" t="s">
        <v>3621</v>
      </c>
      <c r="AK10829" s="5" t="s">
        <v>3620</v>
      </c>
    </row>
    <row r="10830" spans="35:37">
      <c r="AI10830" s="468">
        <v>53202</v>
      </c>
      <c r="AJ10830" s="5" t="s">
        <v>3579</v>
      </c>
      <c r="AK10830" s="5" t="s">
        <v>3622</v>
      </c>
    </row>
    <row r="10831" spans="35:37">
      <c r="AI10831" s="468">
        <v>53203</v>
      </c>
      <c r="AJ10831" s="5" t="s">
        <v>3624</v>
      </c>
      <c r="AK10831" s="5" t="s">
        <v>3623</v>
      </c>
    </row>
    <row r="10832" spans="35:37">
      <c r="AI10832" s="468">
        <v>53204</v>
      </c>
      <c r="AJ10832" s="5" t="s">
        <v>3626</v>
      </c>
      <c r="AK10832" s="5" t="s">
        <v>3625</v>
      </c>
    </row>
    <row r="10833" spans="35:37">
      <c r="AI10833" s="468">
        <v>53205</v>
      </c>
      <c r="AJ10833" s="5" t="s">
        <v>3628</v>
      </c>
      <c r="AK10833" s="5" t="s">
        <v>3627</v>
      </c>
    </row>
    <row r="10834" spans="35:37">
      <c r="AI10834" s="468">
        <v>53206</v>
      </c>
      <c r="AJ10834" s="5" t="s">
        <v>3617</v>
      </c>
      <c r="AK10834" s="5" t="s">
        <v>3618</v>
      </c>
    </row>
    <row r="10835" spans="35:37">
      <c r="AI10835" s="468">
        <v>53207</v>
      </c>
      <c r="AJ10835" s="5" t="s">
        <v>3619</v>
      </c>
      <c r="AK10835" s="5" t="s">
        <v>3620</v>
      </c>
    </row>
    <row r="10836" spans="35:37">
      <c r="AI10836" s="468">
        <v>53208</v>
      </c>
      <c r="AJ10836" s="5" t="s">
        <v>3621</v>
      </c>
      <c r="AK10836" s="5" t="s">
        <v>3622</v>
      </c>
    </row>
    <row r="10837" spans="35:37">
      <c r="AI10837" s="468">
        <v>53209</v>
      </c>
      <c r="AJ10837" s="5" t="s">
        <v>3579</v>
      </c>
      <c r="AK10837" s="5" t="s">
        <v>3623</v>
      </c>
    </row>
    <row r="10838" spans="35:37">
      <c r="AI10838" s="468">
        <v>53210</v>
      </c>
      <c r="AJ10838" s="5" t="s">
        <v>3624</v>
      </c>
      <c r="AK10838" s="5" t="s">
        <v>3625</v>
      </c>
    </row>
    <row r="10839" spans="35:37">
      <c r="AI10839" s="468">
        <v>53211</v>
      </c>
      <c r="AJ10839" s="5" t="s">
        <v>3626</v>
      </c>
      <c r="AK10839" s="5" t="s">
        <v>3627</v>
      </c>
    </row>
    <row r="10840" spans="35:37">
      <c r="AI10840" s="468">
        <v>53212</v>
      </c>
      <c r="AJ10840" s="5" t="s">
        <v>3628</v>
      </c>
      <c r="AK10840" s="5" t="s">
        <v>3618</v>
      </c>
    </row>
    <row r="10841" spans="35:37">
      <c r="AI10841" s="468">
        <v>53213</v>
      </c>
      <c r="AJ10841" s="5" t="s">
        <v>3617</v>
      </c>
      <c r="AK10841" s="5" t="s">
        <v>3620</v>
      </c>
    </row>
    <row r="10842" spans="35:37">
      <c r="AI10842" s="468">
        <v>53214</v>
      </c>
      <c r="AJ10842" s="5" t="s">
        <v>3619</v>
      </c>
      <c r="AK10842" s="5" t="s">
        <v>3622</v>
      </c>
    </row>
    <row r="10843" spans="35:37">
      <c r="AI10843" s="468">
        <v>53215</v>
      </c>
      <c r="AJ10843" s="5" t="s">
        <v>3621</v>
      </c>
      <c r="AK10843" s="5" t="s">
        <v>3623</v>
      </c>
    </row>
    <row r="10844" spans="35:37">
      <c r="AI10844" s="468">
        <v>53216</v>
      </c>
      <c r="AJ10844" s="5" t="s">
        <v>3579</v>
      </c>
      <c r="AK10844" s="5" t="s">
        <v>3618</v>
      </c>
    </row>
    <row r="10845" spans="35:37">
      <c r="AI10845" s="468">
        <v>53217</v>
      </c>
      <c r="AJ10845" s="5" t="s">
        <v>3624</v>
      </c>
      <c r="AK10845" s="5" t="s">
        <v>3620</v>
      </c>
    </row>
    <row r="10846" spans="35:37">
      <c r="AI10846" s="468">
        <v>53218</v>
      </c>
      <c r="AJ10846" s="5" t="s">
        <v>3626</v>
      </c>
      <c r="AK10846" s="5" t="s">
        <v>3622</v>
      </c>
    </row>
    <row r="10847" spans="35:37">
      <c r="AI10847" s="468">
        <v>53219</v>
      </c>
      <c r="AJ10847" s="5" t="s">
        <v>3628</v>
      </c>
      <c r="AK10847" s="5" t="s">
        <v>3623</v>
      </c>
    </row>
    <row r="10848" spans="35:37">
      <c r="AI10848" s="468">
        <v>53220</v>
      </c>
      <c r="AJ10848" s="5" t="s">
        <v>3617</v>
      </c>
      <c r="AK10848" s="5" t="s">
        <v>3625</v>
      </c>
    </row>
    <row r="10849" spans="35:37">
      <c r="AI10849" s="468">
        <v>53221</v>
      </c>
      <c r="AJ10849" s="5" t="s">
        <v>3619</v>
      </c>
      <c r="AK10849" s="5" t="s">
        <v>3627</v>
      </c>
    </row>
    <row r="10850" spans="35:37">
      <c r="AI10850" s="468">
        <v>53222</v>
      </c>
      <c r="AJ10850" s="5" t="s">
        <v>3621</v>
      </c>
      <c r="AK10850" s="5" t="s">
        <v>3618</v>
      </c>
    </row>
    <row r="10851" spans="35:37">
      <c r="AI10851" s="468">
        <v>53223</v>
      </c>
      <c r="AJ10851" s="5" t="s">
        <v>3579</v>
      </c>
      <c r="AK10851" s="5" t="s">
        <v>3620</v>
      </c>
    </row>
    <row r="10852" spans="35:37">
      <c r="AI10852" s="468">
        <v>53224</v>
      </c>
      <c r="AJ10852" s="5" t="s">
        <v>3624</v>
      </c>
      <c r="AK10852" s="5" t="s">
        <v>3622</v>
      </c>
    </row>
    <row r="10853" spans="35:37">
      <c r="AI10853" s="468">
        <v>53225</v>
      </c>
      <c r="AJ10853" s="5" t="s">
        <v>3626</v>
      </c>
      <c r="AK10853" s="5" t="s">
        <v>3623</v>
      </c>
    </row>
    <row r="10854" spans="35:37">
      <c r="AI10854" s="468">
        <v>53226</v>
      </c>
      <c r="AJ10854" s="5" t="s">
        <v>3628</v>
      </c>
      <c r="AK10854" s="5" t="s">
        <v>3625</v>
      </c>
    </row>
    <row r="10855" spans="35:37">
      <c r="AI10855" s="468">
        <v>53227</v>
      </c>
      <c r="AJ10855" s="5" t="s">
        <v>3617</v>
      </c>
      <c r="AK10855" s="5" t="s">
        <v>3627</v>
      </c>
    </row>
    <row r="10856" spans="35:37">
      <c r="AI10856" s="468">
        <v>53228</v>
      </c>
      <c r="AJ10856" s="5" t="s">
        <v>3619</v>
      </c>
      <c r="AK10856" s="5" t="s">
        <v>3618</v>
      </c>
    </row>
    <row r="10857" spans="35:37">
      <c r="AI10857" s="468">
        <v>53229</v>
      </c>
      <c r="AJ10857" s="5" t="s">
        <v>3621</v>
      </c>
      <c r="AK10857" s="5" t="s">
        <v>3620</v>
      </c>
    </row>
    <row r="10858" spans="35:37">
      <c r="AI10858" s="468">
        <v>53230</v>
      </c>
      <c r="AJ10858" s="5" t="s">
        <v>3579</v>
      </c>
      <c r="AK10858" s="5" t="s">
        <v>3622</v>
      </c>
    </row>
    <row r="10859" spans="35:37">
      <c r="AI10859" s="468">
        <v>53231</v>
      </c>
      <c r="AJ10859" s="5" t="s">
        <v>3624</v>
      </c>
      <c r="AK10859" s="5" t="s">
        <v>3623</v>
      </c>
    </row>
    <row r="10860" spans="35:37">
      <c r="AI10860" s="468">
        <v>53232</v>
      </c>
      <c r="AJ10860" s="5" t="s">
        <v>3626</v>
      </c>
      <c r="AK10860" s="5" t="s">
        <v>3625</v>
      </c>
    </row>
    <row r="10861" spans="35:37">
      <c r="AI10861" s="468">
        <v>53233</v>
      </c>
      <c r="AJ10861" s="5" t="s">
        <v>3628</v>
      </c>
      <c r="AK10861" s="5" t="s">
        <v>3627</v>
      </c>
    </row>
    <row r="10862" spans="35:37">
      <c r="AI10862" s="468">
        <v>53234</v>
      </c>
      <c r="AJ10862" s="5" t="s">
        <v>3617</v>
      </c>
      <c r="AK10862" s="5" t="s">
        <v>3618</v>
      </c>
    </row>
    <row r="10863" spans="35:37">
      <c r="AI10863" s="468">
        <v>53235</v>
      </c>
      <c r="AJ10863" s="5" t="s">
        <v>3619</v>
      </c>
      <c r="AK10863" s="5" t="s">
        <v>3620</v>
      </c>
    </row>
    <row r="10864" spans="35:37">
      <c r="AI10864" s="468">
        <v>53236</v>
      </c>
      <c r="AJ10864" s="5" t="s">
        <v>3621</v>
      </c>
      <c r="AK10864" s="5" t="s">
        <v>3622</v>
      </c>
    </row>
    <row r="10865" spans="35:37">
      <c r="AI10865" s="468">
        <v>53237</v>
      </c>
      <c r="AJ10865" s="5" t="s">
        <v>3579</v>
      </c>
      <c r="AK10865" s="5" t="s">
        <v>3623</v>
      </c>
    </row>
    <row r="10866" spans="35:37">
      <c r="AI10866" s="468">
        <v>53238</v>
      </c>
      <c r="AJ10866" s="5" t="s">
        <v>3624</v>
      </c>
      <c r="AK10866" s="5" t="s">
        <v>3625</v>
      </c>
    </row>
    <row r="10867" spans="35:37">
      <c r="AI10867" s="468">
        <v>53239</v>
      </c>
      <c r="AJ10867" s="5" t="s">
        <v>3626</v>
      </c>
      <c r="AK10867" s="5" t="s">
        <v>3627</v>
      </c>
    </row>
    <row r="10868" spans="35:37">
      <c r="AI10868" s="468">
        <v>53240</v>
      </c>
      <c r="AJ10868" s="5" t="s">
        <v>3628</v>
      </c>
      <c r="AK10868" s="5" t="s">
        <v>3618</v>
      </c>
    </row>
    <row r="10869" spans="35:37">
      <c r="AI10869" s="468">
        <v>53241</v>
      </c>
      <c r="AJ10869" s="5" t="s">
        <v>3617</v>
      </c>
      <c r="AK10869" s="5" t="s">
        <v>3620</v>
      </c>
    </row>
    <row r="10870" spans="35:37">
      <c r="AI10870" s="468">
        <v>53242</v>
      </c>
      <c r="AJ10870" s="5" t="s">
        <v>3619</v>
      </c>
      <c r="AK10870" s="5" t="s">
        <v>3622</v>
      </c>
    </row>
    <row r="10871" spans="35:37">
      <c r="AI10871" s="468">
        <v>53243</v>
      </c>
      <c r="AJ10871" s="5" t="s">
        <v>3621</v>
      </c>
      <c r="AK10871" s="5" t="s">
        <v>3623</v>
      </c>
    </row>
    <row r="10872" spans="35:37">
      <c r="AI10872" s="468">
        <v>53244</v>
      </c>
      <c r="AJ10872" s="5" t="s">
        <v>3579</v>
      </c>
      <c r="AK10872" s="5" t="s">
        <v>3625</v>
      </c>
    </row>
    <row r="10873" spans="35:37">
      <c r="AI10873" s="468">
        <v>53245</v>
      </c>
      <c r="AJ10873" s="5" t="s">
        <v>3624</v>
      </c>
      <c r="AK10873" s="5" t="s">
        <v>3620</v>
      </c>
    </row>
    <row r="10874" spans="35:37">
      <c r="AI10874" s="468">
        <v>53246</v>
      </c>
      <c r="AJ10874" s="5" t="s">
        <v>3626</v>
      </c>
      <c r="AK10874" s="5" t="s">
        <v>3622</v>
      </c>
    </row>
    <row r="10875" spans="35:37">
      <c r="AI10875" s="468">
        <v>53247</v>
      </c>
      <c r="AJ10875" s="5" t="s">
        <v>3628</v>
      </c>
      <c r="AK10875" s="5" t="s">
        <v>3623</v>
      </c>
    </row>
    <row r="10876" spans="35:37">
      <c r="AI10876" s="468">
        <v>53248</v>
      </c>
      <c r="AJ10876" s="5" t="s">
        <v>3617</v>
      </c>
      <c r="AK10876" s="5" t="s">
        <v>3625</v>
      </c>
    </row>
    <row r="10877" spans="35:37">
      <c r="AI10877" s="468">
        <v>53249</v>
      </c>
      <c r="AJ10877" s="5" t="s">
        <v>3619</v>
      </c>
      <c r="AK10877" s="5" t="s">
        <v>3627</v>
      </c>
    </row>
    <row r="10878" spans="35:37">
      <c r="AI10878" s="468">
        <v>53250</v>
      </c>
      <c r="AJ10878" s="5" t="s">
        <v>3621</v>
      </c>
      <c r="AK10878" s="5" t="s">
        <v>3618</v>
      </c>
    </row>
    <row r="10879" spans="35:37">
      <c r="AI10879" s="468">
        <v>53251</v>
      </c>
      <c r="AJ10879" s="5" t="s">
        <v>3579</v>
      </c>
      <c r="AK10879" s="5" t="s">
        <v>3620</v>
      </c>
    </row>
    <row r="10880" spans="35:37">
      <c r="AI10880" s="468">
        <v>53252</v>
      </c>
      <c r="AJ10880" s="5" t="s">
        <v>3624</v>
      </c>
      <c r="AK10880" s="5" t="s">
        <v>3622</v>
      </c>
    </row>
    <row r="10881" spans="35:37">
      <c r="AI10881" s="468">
        <v>53253</v>
      </c>
      <c r="AJ10881" s="5" t="s">
        <v>3626</v>
      </c>
      <c r="AK10881" s="5" t="s">
        <v>3623</v>
      </c>
    </row>
    <row r="10882" spans="35:37">
      <c r="AI10882" s="468">
        <v>53254</v>
      </c>
      <c r="AJ10882" s="5" t="s">
        <v>3628</v>
      </c>
      <c r="AK10882" s="5" t="s">
        <v>3625</v>
      </c>
    </row>
    <row r="10883" spans="35:37">
      <c r="AI10883" s="468">
        <v>53255</v>
      </c>
      <c r="AJ10883" s="5" t="s">
        <v>3617</v>
      </c>
      <c r="AK10883" s="5" t="s">
        <v>3627</v>
      </c>
    </row>
    <row r="10884" spans="35:37">
      <c r="AI10884" s="468">
        <v>53256</v>
      </c>
      <c r="AJ10884" s="5" t="s">
        <v>3619</v>
      </c>
      <c r="AK10884" s="5" t="s">
        <v>3618</v>
      </c>
    </row>
    <row r="10885" spans="35:37">
      <c r="AI10885" s="468">
        <v>53257</v>
      </c>
      <c r="AJ10885" s="5" t="s">
        <v>3621</v>
      </c>
      <c r="AK10885" s="5" t="s">
        <v>3620</v>
      </c>
    </row>
    <row r="10886" spans="35:37">
      <c r="AI10886" s="468">
        <v>53258</v>
      </c>
      <c r="AJ10886" s="5" t="s">
        <v>3579</v>
      </c>
      <c r="AK10886" s="5" t="s">
        <v>3622</v>
      </c>
    </row>
    <row r="10887" spans="35:37">
      <c r="AI10887" s="468">
        <v>53259</v>
      </c>
      <c r="AJ10887" s="5" t="s">
        <v>3624</v>
      </c>
      <c r="AK10887" s="5" t="s">
        <v>3623</v>
      </c>
    </row>
    <row r="10888" spans="35:37">
      <c r="AI10888" s="468">
        <v>53260</v>
      </c>
      <c r="AJ10888" s="5" t="s">
        <v>3626</v>
      </c>
      <c r="AK10888" s="5" t="s">
        <v>3625</v>
      </c>
    </row>
    <row r="10889" spans="35:37">
      <c r="AI10889" s="468">
        <v>53261</v>
      </c>
      <c r="AJ10889" s="5" t="s">
        <v>3628</v>
      </c>
      <c r="AK10889" s="5" t="s">
        <v>3627</v>
      </c>
    </row>
    <row r="10890" spans="35:37">
      <c r="AI10890" s="468">
        <v>53262</v>
      </c>
      <c r="AJ10890" s="5" t="s">
        <v>3617</v>
      </c>
      <c r="AK10890" s="5" t="s">
        <v>3618</v>
      </c>
    </row>
    <row r="10891" spans="35:37">
      <c r="AI10891" s="468">
        <v>53263</v>
      </c>
      <c r="AJ10891" s="5" t="s">
        <v>3619</v>
      </c>
      <c r="AK10891" s="5" t="s">
        <v>3620</v>
      </c>
    </row>
    <row r="10892" spans="35:37">
      <c r="AI10892" s="468">
        <v>53264</v>
      </c>
      <c r="AJ10892" s="5" t="s">
        <v>3621</v>
      </c>
      <c r="AK10892" s="5" t="s">
        <v>3622</v>
      </c>
    </row>
    <row r="10893" spans="35:37">
      <c r="AI10893" s="468">
        <v>53265</v>
      </c>
      <c r="AJ10893" s="5" t="s">
        <v>3579</v>
      </c>
      <c r="AK10893" s="5" t="s">
        <v>3623</v>
      </c>
    </row>
    <row r="10894" spans="35:37">
      <c r="AI10894" s="468">
        <v>53266</v>
      </c>
      <c r="AJ10894" s="5" t="s">
        <v>3624</v>
      </c>
      <c r="AK10894" s="5" t="s">
        <v>3625</v>
      </c>
    </row>
    <row r="10895" spans="35:37">
      <c r="AI10895" s="468">
        <v>53267</v>
      </c>
      <c r="AJ10895" s="5" t="s">
        <v>3626</v>
      </c>
      <c r="AK10895" s="5" t="s">
        <v>3627</v>
      </c>
    </row>
    <row r="10896" spans="35:37">
      <c r="AI10896" s="468">
        <v>53268</v>
      </c>
      <c r="AJ10896" s="5" t="s">
        <v>3628</v>
      </c>
      <c r="AK10896" s="5" t="s">
        <v>3618</v>
      </c>
    </row>
    <row r="10897" spans="35:37">
      <c r="AI10897" s="468">
        <v>53269</v>
      </c>
      <c r="AJ10897" s="5" t="s">
        <v>3617</v>
      </c>
      <c r="AK10897" s="5" t="s">
        <v>3620</v>
      </c>
    </row>
    <row r="10898" spans="35:37">
      <c r="AI10898" s="468">
        <v>53270</v>
      </c>
      <c r="AJ10898" s="5" t="s">
        <v>3619</v>
      </c>
      <c r="AK10898" s="5" t="s">
        <v>3622</v>
      </c>
    </row>
    <row r="10899" spans="35:37">
      <c r="AI10899" s="468">
        <v>53271</v>
      </c>
      <c r="AJ10899" s="5" t="s">
        <v>3621</v>
      </c>
      <c r="AK10899" s="5" t="s">
        <v>3623</v>
      </c>
    </row>
    <row r="10900" spans="35:37">
      <c r="AI10900" s="468">
        <v>53272</v>
      </c>
      <c r="AJ10900" s="5" t="s">
        <v>3579</v>
      </c>
      <c r="AK10900" s="5" t="s">
        <v>3625</v>
      </c>
    </row>
    <row r="10901" spans="35:37">
      <c r="AI10901" s="468">
        <v>53273</v>
      </c>
      <c r="AJ10901" s="5" t="s">
        <v>3624</v>
      </c>
      <c r="AK10901" s="5" t="s">
        <v>3627</v>
      </c>
    </row>
    <row r="10902" spans="35:37">
      <c r="AI10902" s="468">
        <v>53274</v>
      </c>
      <c r="AJ10902" s="5" t="s">
        <v>3626</v>
      </c>
      <c r="AK10902" s="5" t="s">
        <v>3618</v>
      </c>
    </row>
    <row r="10903" spans="35:37">
      <c r="AI10903" s="468">
        <v>53275</v>
      </c>
      <c r="AJ10903" s="5" t="s">
        <v>3628</v>
      </c>
      <c r="AK10903" s="5" t="s">
        <v>3622</v>
      </c>
    </row>
    <row r="10904" spans="35:37">
      <c r="AI10904" s="468">
        <v>53276</v>
      </c>
      <c r="AJ10904" s="5" t="s">
        <v>3617</v>
      </c>
      <c r="AK10904" s="5" t="s">
        <v>3623</v>
      </c>
    </row>
    <row r="10905" spans="35:37">
      <c r="AI10905" s="468">
        <v>53277</v>
      </c>
      <c r="AJ10905" s="5" t="s">
        <v>3619</v>
      </c>
      <c r="AK10905" s="5" t="s">
        <v>3625</v>
      </c>
    </row>
    <row r="10906" spans="35:37">
      <c r="AI10906" s="468">
        <v>53278</v>
      </c>
      <c r="AJ10906" s="5" t="s">
        <v>3621</v>
      </c>
      <c r="AK10906" s="5" t="s">
        <v>3627</v>
      </c>
    </row>
    <row r="10907" spans="35:37">
      <c r="AI10907" s="468">
        <v>53279</v>
      </c>
      <c r="AJ10907" s="5" t="s">
        <v>3579</v>
      </c>
      <c r="AK10907" s="5" t="s">
        <v>3618</v>
      </c>
    </row>
    <row r="10908" spans="35:37">
      <c r="AI10908" s="468">
        <v>53280</v>
      </c>
      <c r="AJ10908" s="5" t="s">
        <v>3624</v>
      </c>
      <c r="AK10908" s="5" t="s">
        <v>3620</v>
      </c>
    </row>
    <row r="10909" spans="35:37">
      <c r="AI10909" s="468">
        <v>53281</v>
      </c>
      <c r="AJ10909" s="5" t="s">
        <v>3626</v>
      </c>
      <c r="AK10909" s="5" t="s">
        <v>3622</v>
      </c>
    </row>
    <row r="10910" spans="35:37">
      <c r="AI10910" s="468">
        <v>53282</v>
      </c>
      <c r="AJ10910" s="5" t="s">
        <v>3628</v>
      </c>
      <c r="AK10910" s="5" t="s">
        <v>3623</v>
      </c>
    </row>
    <row r="10911" spans="35:37">
      <c r="AI10911" s="468">
        <v>53283</v>
      </c>
      <c r="AJ10911" s="5" t="s">
        <v>3617</v>
      </c>
      <c r="AK10911" s="5" t="s">
        <v>3625</v>
      </c>
    </row>
    <row r="10912" spans="35:37">
      <c r="AI10912" s="468">
        <v>53284</v>
      </c>
      <c r="AJ10912" s="5" t="s">
        <v>3619</v>
      </c>
      <c r="AK10912" s="5" t="s">
        <v>3627</v>
      </c>
    </row>
    <row r="10913" spans="35:37">
      <c r="AI10913" s="468">
        <v>53285</v>
      </c>
      <c r="AJ10913" s="5" t="s">
        <v>3621</v>
      </c>
      <c r="AK10913" s="5" t="s">
        <v>3618</v>
      </c>
    </row>
    <row r="10914" spans="35:37">
      <c r="AI10914" s="468">
        <v>53286</v>
      </c>
      <c r="AJ10914" s="5" t="s">
        <v>3579</v>
      </c>
      <c r="AK10914" s="5" t="s">
        <v>3620</v>
      </c>
    </row>
    <row r="10915" spans="35:37">
      <c r="AI10915" s="468">
        <v>53287</v>
      </c>
      <c r="AJ10915" s="5" t="s">
        <v>3624</v>
      </c>
      <c r="AK10915" s="5" t="s">
        <v>3622</v>
      </c>
    </row>
    <row r="10916" spans="35:37">
      <c r="AI10916" s="468">
        <v>53288</v>
      </c>
      <c r="AJ10916" s="5" t="s">
        <v>3626</v>
      </c>
      <c r="AK10916" s="5" t="s">
        <v>3623</v>
      </c>
    </row>
    <row r="10917" spans="35:37">
      <c r="AI10917" s="468">
        <v>53289</v>
      </c>
      <c r="AJ10917" s="5" t="s">
        <v>3628</v>
      </c>
      <c r="AK10917" s="5" t="s">
        <v>3625</v>
      </c>
    </row>
    <row r="10918" spans="35:37">
      <c r="AI10918" s="468">
        <v>53290</v>
      </c>
      <c r="AJ10918" s="5" t="s">
        <v>3617</v>
      </c>
      <c r="AK10918" s="5" t="s">
        <v>3627</v>
      </c>
    </row>
    <row r="10919" spans="35:37">
      <c r="AI10919" s="468">
        <v>53291</v>
      </c>
      <c r="AJ10919" s="5" t="s">
        <v>3619</v>
      </c>
      <c r="AK10919" s="5" t="s">
        <v>3618</v>
      </c>
    </row>
    <row r="10920" spans="35:37">
      <c r="AI10920" s="468">
        <v>53292</v>
      </c>
      <c r="AJ10920" s="5" t="s">
        <v>3621</v>
      </c>
      <c r="AK10920" s="5" t="s">
        <v>3620</v>
      </c>
    </row>
    <row r="10921" spans="35:37">
      <c r="AI10921" s="468">
        <v>53293</v>
      </c>
      <c r="AJ10921" s="5" t="s">
        <v>3579</v>
      </c>
      <c r="AK10921" s="5" t="s">
        <v>3622</v>
      </c>
    </row>
    <row r="10922" spans="35:37">
      <c r="AI10922" s="468">
        <v>53294</v>
      </c>
      <c r="AJ10922" s="5" t="s">
        <v>3624</v>
      </c>
      <c r="AK10922" s="5" t="s">
        <v>3623</v>
      </c>
    </row>
    <row r="10923" spans="35:37">
      <c r="AI10923" s="468">
        <v>53295</v>
      </c>
      <c r="AJ10923" s="5" t="s">
        <v>3626</v>
      </c>
      <c r="AK10923" s="5" t="s">
        <v>3625</v>
      </c>
    </row>
    <row r="10924" spans="35:37">
      <c r="AI10924" s="468">
        <v>53296</v>
      </c>
      <c r="AJ10924" s="5" t="s">
        <v>3628</v>
      </c>
      <c r="AK10924" s="5" t="s">
        <v>3627</v>
      </c>
    </row>
    <row r="10925" spans="35:37">
      <c r="AI10925" s="468">
        <v>53297</v>
      </c>
      <c r="AJ10925" s="5" t="s">
        <v>3617</v>
      </c>
      <c r="AK10925" s="5" t="s">
        <v>3618</v>
      </c>
    </row>
    <row r="10926" spans="35:37">
      <c r="AI10926" s="468">
        <v>53298</v>
      </c>
      <c r="AJ10926" s="5" t="s">
        <v>3619</v>
      </c>
      <c r="AK10926" s="5" t="s">
        <v>3620</v>
      </c>
    </row>
    <row r="10927" spans="35:37">
      <c r="AI10927" s="468">
        <v>53299</v>
      </c>
      <c r="AJ10927" s="5" t="s">
        <v>3621</v>
      </c>
      <c r="AK10927" s="5" t="s">
        <v>3622</v>
      </c>
    </row>
    <row r="10928" spans="35:37">
      <c r="AI10928" s="468">
        <v>53300</v>
      </c>
      <c r="AJ10928" s="5" t="s">
        <v>3579</v>
      </c>
      <c r="AK10928" s="5" t="s">
        <v>3623</v>
      </c>
    </row>
    <row r="10929" spans="35:37">
      <c r="AI10929" s="468">
        <v>53301</v>
      </c>
      <c r="AJ10929" s="5" t="s">
        <v>3624</v>
      </c>
      <c r="AK10929" s="5" t="s">
        <v>3625</v>
      </c>
    </row>
    <row r="10930" spans="35:37">
      <c r="AI10930" s="468">
        <v>53302</v>
      </c>
      <c r="AJ10930" s="5" t="s">
        <v>3626</v>
      </c>
      <c r="AK10930" s="5" t="s">
        <v>3627</v>
      </c>
    </row>
    <row r="10931" spans="35:37">
      <c r="AI10931" s="468">
        <v>53303</v>
      </c>
      <c r="AJ10931" s="5" t="s">
        <v>3628</v>
      </c>
      <c r="AK10931" s="5" t="s">
        <v>3618</v>
      </c>
    </row>
    <row r="10932" spans="35:37">
      <c r="AI10932" s="468">
        <v>53304</v>
      </c>
      <c r="AJ10932" s="5" t="s">
        <v>3617</v>
      </c>
      <c r="AK10932" s="5" t="s">
        <v>3623</v>
      </c>
    </row>
    <row r="10933" spans="35:37">
      <c r="AI10933" s="468">
        <v>53305</v>
      </c>
      <c r="AJ10933" s="5" t="s">
        <v>3619</v>
      </c>
      <c r="AK10933" s="5" t="s">
        <v>3625</v>
      </c>
    </row>
    <row r="10934" spans="35:37">
      <c r="AI10934" s="468">
        <v>53306</v>
      </c>
      <c r="AJ10934" s="5" t="s">
        <v>3621</v>
      </c>
      <c r="AK10934" s="5" t="s">
        <v>3627</v>
      </c>
    </row>
    <row r="10935" spans="35:37">
      <c r="AI10935" s="468">
        <v>53307</v>
      </c>
      <c r="AJ10935" s="5" t="s">
        <v>3579</v>
      </c>
      <c r="AK10935" s="5" t="s">
        <v>3618</v>
      </c>
    </row>
    <row r="10936" spans="35:37">
      <c r="AI10936" s="468">
        <v>53308</v>
      </c>
      <c r="AJ10936" s="5" t="s">
        <v>3624</v>
      </c>
      <c r="AK10936" s="5" t="s">
        <v>3620</v>
      </c>
    </row>
    <row r="10937" spans="35:37">
      <c r="AI10937" s="468">
        <v>53309</v>
      </c>
      <c r="AJ10937" s="5" t="s">
        <v>3626</v>
      </c>
      <c r="AK10937" s="5" t="s">
        <v>3622</v>
      </c>
    </row>
    <row r="10938" spans="35:37">
      <c r="AI10938" s="468">
        <v>53310</v>
      </c>
      <c r="AJ10938" s="5" t="s">
        <v>3628</v>
      </c>
      <c r="AK10938" s="5" t="s">
        <v>3623</v>
      </c>
    </row>
    <row r="10939" spans="35:37">
      <c r="AI10939" s="468">
        <v>53311</v>
      </c>
      <c r="AJ10939" s="5" t="s">
        <v>3617</v>
      </c>
      <c r="AK10939" s="5" t="s">
        <v>3625</v>
      </c>
    </row>
    <row r="10940" spans="35:37">
      <c r="AI10940" s="468">
        <v>53312</v>
      </c>
      <c r="AJ10940" s="5" t="s">
        <v>3619</v>
      </c>
      <c r="AK10940" s="5" t="s">
        <v>3627</v>
      </c>
    </row>
    <row r="10941" spans="35:37">
      <c r="AI10941" s="468">
        <v>53313</v>
      </c>
      <c r="AJ10941" s="5" t="s">
        <v>3621</v>
      </c>
      <c r="AK10941" s="5" t="s">
        <v>3618</v>
      </c>
    </row>
    <row r="10942" spans="35:37">
      <c r="AI10942" s="468">
        <v>53314</v>
      </c>
      <c r="AJ10942" s="5" t="s">
        <v>3579</v>
      </c>
      <c r="AK10942" s="5" t="s">
        <v>3620</v>
      </c>
    </row>
    <row r="10943" spans="35:37">
      <c r="AI10943" s="468">
        <v>53315</v>
      </c>
      <c r="AJ10943" s="5" t="s">
        <v>3624</v>
      </c>
      <c r="AK10943" s="5" t="s">
        <v>3622</v>
      </c>
    </row>
    <row r="10944" spans="35:37">
      <c r="AI10944" s="468">
        <v>53316</v>
      </c>
      <c r="AJ10944" s="5" t="s">
        <v>3626</v>
      </c>
      <c r="AK10944" s="5" t="s">
        <v>3623</v>
      </c>
    </row>
    <row r="10945" spans="35:37">
      <c r="AI10945" s="468">
        <v>53317</v>
      </c>
      <c r="AJ10945" s="5" t="s">
        <v>3628</v>
      </c>
      <c r="AK10945" s="5" t="s">
        <v>3625</v>
      </c>
    </row>
    <row r="10946" spans="35:37">
      <c r="AI10946" s="468">
        <v>53318</v>
      </c>
      <c r="AJ10946" s="5" t="s">
        <v>3617</v>
      </c>
      <c r="AK10946" s="5" t="s">
        <v>3627</v>
      </c>
    </row>
    <row r="10947" spans="35:37">
      <c r="AI10947" s="468">
        <v>53319</v>
      </c>
      <c r="AJ10947" s="5" t="s">
        <v>3619</v>
      </c>
      <c r="AK10947" s="5" t="s">
        <v>3618</v>
      </c>
    </row>
    <row r="10948" spans="35:37">
      <c r="AI10948" s="468">
        <v>53320</v>
      </c>
      <c r="AJ10948" s="5" t="s">
        <v>3621</v>
      </c>
      <c r="AK10948" s="5" t="s">
        <v>3620</v>
      </c>
    </row>
    <row r="10949" spans="35:37">
      <c r="AI10949" s="468">
        <v>53321</v>
      </c>
      <c r="AJ10949" s="5" t="s">
        <v>3579</v>
      </c>
      <c r="AK10949" s="5" t="s">
        <v>3622</v>
      </c>
    </row>
    <row r="10950" spans="35:37">
      <c r="AI10950" s="468">
        <v>53322</v>
      </c>
      <c r="AJ10950" s="5" t="s">
        <v>3624</v>
      </c>
      <c r="AK10950" s="5" t="s">
        <v>3623</v>
      </c>
    </row>
    <row r="10951" spans="35:37">
      <c r="AI10951" s="468">
        <v>53323</v>
      </c>
      <c r="AJ10951" s="5" t="s">
        <v>3626</v>
      </c>
      <c r="AK10951" s="5" t="s">
        <v>3625</v>
      </c>
    </row>
    <row r="10952" spans="35:37">
      <c r="AI10952" s="468">
        <v>53324</v>
      </c>
      <c r="AJ10952" s="5" t="s">
        <v>3628</v>
      </c>
      <c r="AK10952" s="5" t="s">
        <v>3627</v>
      </c>
    </row>
    <row r="10953" spans="35:37">
      <c r="AI10953" s="468">
        <v>53325</v>
      </c>
      <c r="AJ10953" s="5" t="s">
        <v>3617</v>
      </c>
      <c r="AK10953" s="5" t="s">
        <v>3618</v>
      </c>
    </row>
    <row r="10954" spans="35:37">
      <c r="AI10954" s="468">
        <v>53326</v>
      </c>
      <c r="AJ10954" s="5" t="s">
        <v>3619</v>
      </c>
      <c r="AK10954" s="5" t="s">
        <v>3620</v>
      </c>
    </row>
    <row r="10955" spans="35:37">
      <c r="AI10955" s="468">
        <v>53327</v>
      </c>
      <c r="AJ10955" s="5" t="s">
        <v>3621</v>
      </c>
      <c r="AK10955" s="5" t="s">
        <v>3622</v>
      </c>
    </row>
    <row r="10956" spans="35:37">
      <c r="AI10956" s="468">
        <v>53328</v>
      </c>
      <c r="AJ10956" s="5" t="s">
        <v>3579</v>
      </c>
      <c r="AK10956" s="5" t="s">
        <v>3623</v>
      </c>
    </row>
    <row r="10957" spans="35:37">
      <c r="AI10957" s="468">
        <v>53329</v>
      </c>
      <c r="AJ10957" s="5" t="s">
        <v>3624</v>
      </c>
      <c r="AK10957" s="5" t="s">
        <v>3625</v>
      </c>
    </row>
    <row r="10958" spans="35:37">
      <c r="AI10958" s="468">
        <v>53330</v>
      </c>
      <c r="AJ10958" s="5" t="s">
        <v>3626</v>
      </c>
      <c r="AK10958" s="5" t="s">
        <v>3627</v>
      </c>
    </row>
    <row r="10959" spans="35:37">
      <c r="AI10959" s="468">
        <v>53331</v>
      </c>
      <c r="AJ10959" s="5" t="s">
        <v>3628</v>
      </c>
      <c r="AK10959" s="5" t="s">
        <v>3618</v>
      </c>
    </row>
    <row r="10960" spans="35:37">
      <c r="AI10960" s="468">
        <v>53332</v>
      </c>
      <c r="AJ10960" s="5" t="s">
        <v>3617</v>
      </c>
      <c r="AK10960" s="5" t="s">
        <v>3620</v>
      </c>
    </row>
    <row r="10961" spans="35:37">
      <c r="AI10961" s="468">
        <v>53333</v>
      </c>
      <c r="AJ10961" s="5" t="s">
        <v>3619</v>
      </c>
      <c r="AK10961" s="5" t="s">
        <v>3622</v>
      </c>
    </row>
    <row r="10962" spans="35:37">
      <c r="AI10962" s="468">
        <v>53334</v>
      </c>
      <c r="AJ10962" s="5" t="s">
        <v>3621</v>
      </c>
      <c r="AK10962" s="5" t="s">
        <v>3625</v>
      </c>
    </row>
    <row r="10963" spans="35:37">
      <c r="AI10963" s="468">
        <v>53335</v>
      </c>
      <c r="AJ10963" s="5" t="s">
        <v>3579</v>
      </c>
      <c r="AK10963" s="5" t="s">
        <v>3627</v>
      </c>
    </row>
    <row r="10964" spans="35:37">
      <c r="AI10964" s="468">
        <v>53336</v>
      </c>
      <c r="AJ10964" s="5" t="s">
        <v>3624</v>
      </c>
      <c r="AK10964" s="5" t="s">
        <v>3618</v>
      </c>
    </row>
    <row r="10965" spans="35:37">
      <c r="AI10965" s="468">
        <v>53337</v>
      </c>
      <c r="AJ10965" s="5" t="s">
        <v>3626</v>
      </c>
      <c r="AK10965" s="5" t="s">
        <v>3620</v>
      </c>
    </row>
    <row r="10966" spans="35:37">
      <c r="AI10966" s="468">
        <v>53338</v>
      </c>
      <c r="AJ10966" s="5" t="s">
        <v>3628</v>
      </c>
      <c r="AK10966" s="5" t="s">
        <v>3622</v>
      </c>
    </row>
    <row r="10967" spans="35:37">
      <c r="AI10967" s="468">
        <v>53339</v>
      </c>
      <c r="AJ10967" s="5" t="s">
        <v>3617</v>
      </c>
      <c r="AK10967" s="5" t="s">
        <v>3623</v>
      </c>
    </row>
    <row r="10968" spans="35:37">
      <c r="AI10968" s="468">
        <v>53340</v>
      </c>
      <c r="AJ10968" s="5" t="s">
        <v>3619</v>
      </c>
      <c r="AK10968" s="5" t="s">
        <v>3625</v>
      </c>
    </row>
    <row r="10969" spans="35:37">
      <c r="AI10969" s="468">
        <v>53341</v>
      </c>
      <c r="AJ10969" s="5" t="s">
        <v>3621</v>
      </c>
      <c r="AK10969" s="5" t="s">
        <v>3627</v>
      </c>
    </row>
    <row r="10970" spans="35:37">
      <c r="AI10970" s="468">
        <v>53342</v>
      </c>
      <c r="AJ10970" s="5" t="s">
        <v>3579</v>
      </c>
      <c r="AK10970" s="5" t="s">
        <v>3618</v>
      </c>
    </row>
    <row r="10971" spans="35:37">
      <c r="AI10971" s="468">
        <v>53343</v>
      </c>
      <c r="AJ10971" s="5" t="s">
        <v>3624</v>
      </c>
      <c r="AK10971" s="5" t="s">
        <v>3620</v>
      </c>
    </row>
    <row r="10972" spans="35:37">
      <c r="AI10972" s="468">
        <v>53344</v>
      </c>
      <c r="AJ10972" s="5" t="s">
        <v>3626</v>
      </c>
      <c r="AK10972" s="5" t="s">
        <v>3622</v>
      </c>
    </row>
    <row r="10973" spans="35:37">
      <c r="AI10973" s="468">
        <v>53345</v>
      </c>
      <c r="AJ10973" s="5" t="s">
        <v>3628</v>
      </c>
      <c r="AK10973" s="5" t="s">
        <v>3623</v>
      </c>
    </row>
    <row r="10974" spans="35:37">
      <c r="AI10974" s="468">
        <v>53346</v>
      </c>
      <c r="AJ10974" s="5" t="s">
        <v>3617</v>
      </c>
      <c r="AK10974" s="5" t="s">
        <v>3625</v>
      </c>
    </row>
    <row r="10975" spans="35:37">
      <c r="AI10975" s="468">
        <v>53347</v>
      </c>
      <c r="AJ10975" s="5" t="s">
        <v>3619</v>
      </c>
      <c r="AK10975" s="5" t="s">
        <v>3627</v>
      </c>
    </row>
    <row r="10976" spans="35:37">
      <c r="AI10976" s="468">
        <v>53348</v>
      </c>
      <c r="AJ10976" s="5" t="s">
        <v>3621</v>
      </c>
      <c r="AK10976" s="5" t="s">
        <v>3618</v>
      </c>
    </row>
    <row r="10977" spans="35:37">
      <c r="AI10977" s="468">
        <v>53349</v>
      </c>
      <c r="AJ10977" s="5" t="s">
        <v>3579</v>
      </c>
      <c r="AK10977" s="5" t="s">
        <v>3620</v>
      </c>
    </row>
    <row r="10978" spans="35:37">
      <c r="AI10978" s="468">
        <v>53350</v>
      </c>
      <c r="AJ10978" s="5" t="s">
        <v>3624</v>
      </c>
      <c r="AK10978" s="5" t="s">
        <v>3622</v>
      </c>
    </row>
    <row r="10979" spans="35:37">
      <c r="AI10979" s="468">
        <v>53351</v>
      </c>
      <c r="AJ10979" s="5" t="s">
        <v>3626</v>
      </c>
      <c r="AK10979" s="5" t="s">
        <v>3623</v>
      </c>
    </row>
    <row r="10980" spans="35:37">
      <c r="AI10980" s="468">
        <v>53352</v>
      </c>
      <c r="AJ10980" s="5" t="s">
        <v>3628</v>
      </c>
      <c r="AK10980" s="5" t="s">
        <v>3625</v>
      </c>
    </row>
    <row r="10981" spans="35:37">
      <c r="AI10981" s="468">
        <v>53353</v>
      </c>
      <c r="AJ10981" s="5" t="s">
        <v>3617</v>
      </c>
      <c r="AK10981" s="5" t="s">
        <v>3627</v>
      </c>
    </row>
    <row r="10982" spans="35:37">
      <c r="AI10982" s="468">
        <v>53354</v>
      </c>
      <c r="AJ10982" s="5" t="s">
        <v>3619</v>
      </c>
      <c r="AK10982" s="5" t="s">
        <v>3618</v>
      </c>
    </row>
    <row r="10983" spans="35:37">
      <c r="AI10983" s="468">
        <v>53355</v>
      </c>
      <c r="AJ10983" s="5" t="s">
        <v>3621</v>
      </c>
      <c r="AK10983" s="5" t="s">
        <v>3620</v>
      </c>
    </row>
    <row r="10984" spans="35:37">
      <c r="AI10984" s="468">
        <v>53356</v>
      </c>
      <c r="AJ10984" s="5" t="s">
        <v>3579</v>
      </c>
      <c r="AK10984" s="5" t="s">
        <v>3622</v>
      </c>
    </row>
    <row r="10985" spans="35:37">
      <c r="AI10985" s="468">
        <v>53357</v>
      </c>
      <c r="AJ10985" s="5" t="s">
        <v>3624</v>
      </c>
      <c r="AK10985" s="5" t="s">
        <v>3623</v>
      </c>
    </row>
    <row r="10986" spans="35:37">
      <c r="AI10986" s="468">
        <v>53358</v>
      </c>
      <c r="AJ10986" s="5" t="s">
        <v>3626</v>
      </c>
      <c r="AK10986" s="5" t="s">
        <v>3625</v>
      </c>
    </row>
    <row r="10987" spans="35:37">
      <c r="AI10987" s="468">
        <v>53359</v>
      </c>
      <c r="AJ10987" s="5" t="s">
        <v>3628</v>
      </c>
      <c r="AK10987" s="5" t="s">
        <v>3627</v>
      </c>
    </row>
    <row r="10988" spans="35:37">
      <c r="AI10988" s="468">
        <v>53360</v>
      </c>
      <c r="AJ10988" s="5" t="s">
        <v>3617</v>
      </c>
      <c r="AK10988" s="5" t="s">
        <v>3618</v>
      </c>
    </row>
    <row r="10989" spans="35:37">
      <c r="AI10989" s="468">
        <v>53361</v>
      </c>
      <c r="AJ10989" s="5" t="s">
        <v>3619</v>
      </c>
      <c r="AK10989" s="5" t="s">
        <v>3620</v>
      </c>
    </row>
    <row r="10990" spans="35:37">
      <c r="AI10990" s="468">
        <v>53362</v>
      </c>
      <c r="AJ10990" s="5" t="s">
        <v>3621</v>
      </c>
      <c r="AK10990" s="5" t="s">
        <v>3622</v>
      </c>
    </row>
    <row r="10991" spans="35:37">
      <c r="AI10991" s="468">
        <v>53363</v>
      </c>
      <c r="AJ10991" s="5" t="s">
        <v>3579</v>
      </c>
      <c r="AK10991" s="5" t="s">
        <v>3623</v>
      </c>
    </row>
    <row r="10992" spans="35:37">
      <c r="AI10992" s="468">
        <v>53364</v>
      </c>
      <c r="AJ10992" s="5" t="s">
        <v>3624</v>
      </c>
      <c r="AK10992" s="5" t="s">
        <v>3627</v>
      </c>
    </row>
    <row r="10993" spans="35:37">
      <c r="AI10993" s="468">
        <v>53365</v>
      </c>
      <c r="AJ10993" s="5" t="s">
        <v>3626</v>
      </c>
      <c r="AK10993" s="5" t="s">
        <v>3618</v>
      </c>
    </row>
    <row r="10994" spans="35:37">
      <c r="AI10994" s="468">
        <v>53366</v>
      </c>
      <c r="AJ10994" s="5" t="s">
        <v>3628</v>
      </c>
      <c r="AK10994" s="5" t="s">
        <v>3620</v>
      </c>
    </row>
    <row r="10995" spans="35:37">
      <c r="AI10995" s="468">
        <v>53367</v>
      </c>
      <c r="AJ10995" s="5" t="s">
        <v>3617</v>
      </c>
      <c r="AK10995" s="5" t="s">
        <v>3622</v>
      </c>
    </row>
    <row r="10996" spans="35:37">
      <c r="AI10996" s="468">
        <v>53368</v>
      </c>
      <c r="AJ10996" s="5" t="s">
        <v>3619</v>
      </c>
      <c r="AK10996" s="5" t="s">
        <v>3623</v>
      </c>
    </row>
    <row r="10997" spans="35:37">
      <c r="AI10997" s="468">
        <v>53369</v>
      </c>
      <c r="AJ10997" s="5" t="s">
        <v>3621</v>
      </c>
      <c r="AK10997" s="5" t="s">
        <v>3625</v>
      </c>
    </row>
    <row r="10998" spans="35:37">
      <c r="AI10998" s="468">
        <v>53370</v>
      </c>
      <c r="AJ10998" s="5" t="s">
        <v>3579</v>
      </c>
      <c r="AK10998" s="5" t="s">
        <v>3627</v>
      </c>
    </row>
    <row r="10999" spans="35:37">
      <c r="AI10999" s="468">
        <v>53371</v>
      </c>
      <c r="AJ10999" s="5" t="s">
        <v>3624</v>
      </c>
      <c r="AK10999" s="5" t="s">
        <v>3618</v>
      </c>
    </row>
    <row r="11000" spans="35:37">
      <c r="AI11000" s="468">
        <v>53372</v>
      </c>
      <c r="AJ11000" s="5" t="s">
        <v>3626</v>
      </c>
      <c r="AK11000" s="5" t="s">
        <v>3620</v>
      </c>
    </row>
    <row r="11001" spans="35:37">
      <c r="AI11001" s="468">
        <v>53373</v>
      </c>
      <c r="AJ11001" s="5" t="s">
        <v>3628</v>
      </c>
      <c r="AK11001" s="5" t="s">
        <v>3622</v>
      </c>
    </row>
    <row r="11002" spans="35:37">
      <c r="AI11002" s="468">
        <v>53374</v>
      </c>
      <c r="AJ11002" s="5" t="s">
        <v>3617</v>
      </c>
      <c r="AK11002" s="5" t="s">
        <v>3623</v>
      </c>
    </row>
    <row r="11003" spans="35:37">
      <c r="AI11003" s="468">
        <v>53375</v>
      </c>
      <c r="AJ11003" s="5" t="s">
        <v>3619</v>
      </c>
      <c r="AK11003" s="5" t="s">
        <v>3625</v>
      </c>
    </row>
    <row r="11004" spans="35:37">
      <c r="AI11004" s="468">
        <v>53376</v>
      </c>
      <c r="AJ11004" s="5" t="s">
        <v>3621</v>
      </c>
      <c r="AK11004" s="5" t="s">
        <v>3627</v>
      </c>
    </row>
    <row r="11005" spans="35:37">
      <c r="AI11005" s="468">
        <v>53377</v>
      </c>
      <c r="AJ11005" s="5" t="s">
        <v>3579</v>
      </c>
      <c r="AK11005" s="5" t="s">
        <v>3618</v>
      </c>
    </row>
    <row r="11006" spans="35:37">
      <c r="AI11006" s="468">
        <v>53378</v>
      </c>
      <c r="AJ11006" s="5" t="s">
        <v>3624</v>
      </c>
      <c r="AK11006" s="5" t="s">
        <v>3620</v>
      </c>
    </row>
    <row r="11007" spans="35:37">
      <c r="AI11007" s="468">
        <v>53379</v>
      </c>
      <c r="AJ11007" s="5" t="s">
        <v>3626</v>
      </c>
      <c r="AK11007" s="5" t="s">
        <v>3622</v>
      </c>
    </row>
    <row r="11008" spans="35:37">
      <c r="AI11008" s="468">
        <v>53380</v>
      </c>
      <c r="AJ11008" s="5" t="s">
        <v>3628</v>
      </c>
      <c r="AK11008" s="5" t="s">
        <v>3623</v>
      </c>
    </row>
    <row r="11009" spans="35:37">
      <c r="AI11009" s="468">
        <v>53381</v>
      </c>
      <c r="AJ11009" s="5" t="s">
        <v>3617</v>
      </c>
      <c r="AK11009" s="5" t="s">
        <v>3625</v>
      </c>
    </row>
    <row r="11010" spans="35:37">
      <c r="AI11010" s="468">
        <v>53382</v>
      </c>
      <c r="AJ11010" s="5" t="s">
        <v>3619</v>
      </c>
      <c r="AK11010" s="5" t="s">
        <v>3627</v>
      </c>
    </row>
    <row r="11011" spans="35:37">
      <c r="AI11011" s="468">
        <v>53383</v>
      </c>
      <c r="AJ11011" s="5" t="s">
        <v>3621</v>
      </c>
      <c r="AK11011" s="5" t="s">
        <v>3618</v>
      </c>
    </row>
    <row r="11012" spans="35:37">
      <c r="AI11012" s="468">
        <v>53384</v>
      </c>
      <c r="AJ11012" s="5" t="s">
        <v>3579</v>
      </c>
      <c r="AK11012" s="5" t="s">
        <v>3620</v>
      </c>
    </row>
    <row r="11013" spans="35:37">
      <c r="AI11013" s="468">
        <v>53385</v>
      </c>
      <c r="AJ11013" s="5" t="s">
        <v>3624</v>
      </c>
      <c r="AK11013" s="5" t="s">
        <v>3622</v>
      </c>
    </row>
    <row r="11014" spans="35:37">
      <c r="AI11014" s="468">
        <v>53386</v>
      </c>
      <c r="AJ11014" s="5" t="s">
        <v>3626</v>
      </c>
      <c r="AK11014" s="5" t="s">
        <v>3623</v>
      </c>
    </row>
    <row r="11015" spans="35:37">
      <c r="AI11015" s="468">
        <v>53387</v>
      </c>
      <c r="AJ11015" s="5" t="s">
        <v>3628</v>
      </c>
      <c r="AK11015" s="5" t="s">
        <v>3625</v>
      </c>
    </row>
    <row r="11016" spans="35:37">
      <c r="AI11016" s="468">
        <v>53388</v>
      </c>
      <c r="AJ11016" s="5" t="s">
        <v>3617</v>
      </c>
      <c r="AK11016" s="5" t="s">
        <v>3627</v>
      </c>
    </row>
    <row r="11017" spans="35:37">
      <c r="AI11017" s="468">
        <v>53389</v>
      </c>
      <c r="AJ11017" s="5" t="s">
        <v>3619</v>
      </c>
      <c r="AK11017" s="5" t="s">
        <v>3618</v>
      </c>
    </row>
    <row r="11018" spans="35:37">
      <c r="AI11018" s="468">
        <v>53390</v>
      </c>
      <c r="AJ11018" s="5" t="s">
        <v>3621</v>
      </c>
      <c r="AK11018" s="5" t="s">
        <v>3620</v>
      </c>
    </row>
    <row r="11019" spans="35:37">
      <c r="AI11019" s="468">
        <v>53391</v>
      </c>
      <c r="AJ11019" s="5" t="s">
        <v>3579</v>
      </c>
      <c r="AK11019" s="5" t="s">
        <v>3622</v>
      </c>
    </row>
    <row r="11020" spans="35:37">
      <c r="AI11020" s="468">
        <v>53392</v>
      </c>
      <c r="AJ11020" s="5" t="s">
        <v>3624</v>
      </c>
      <c r="AK11020" s="5" t="s">
        <v>3623</v>
      </c>
    </row>
    <row r="11021" spans="35:37">
      <c r="AI11021" s="468">
        <v>53393</v>
      </c>
      <c r="AJ11021" s="5" t="s">
        <v>3626</v>
      </c>
      <c r="AK11021" s="5" t="s">
        <v>3625</v>
      </c>
    </row>
    <row r="11022" spans="35:37">
      <c r="AI11022" s="468">
        <v>53394</v>
      </c>
      <c r="AJ11022" s="5" t="s">
        <v>3628</v>
      </c>
      <c r="AK11022" s="5" t="s">
        <v>3618</v>
      </c>
    </row>
    <row r="11023" spans="35:37">
      <c r="AI11023" s="468">
        <v>53395</v>
      </c>
      <c r="AJ11023" s="5" t="s">
        <v>3617</v>
      </c>
      <c r="AK11023" s="5" t="s">
        <v>3620</v>
      </c>
    </row>
    <row r="11024" spans="35:37">
      <c r="AI11024" s="468">
        <v>53396</v>
      </c>
      <c r="AJ11024" s="5" t="s">
        <v>3619</v>
      </c>
      <c r="AK11024" s="5" t="s">
        <v>3622</v>
      </c>
    </row>
    <row r="11025" spans="35:37">
      <c r="AI11025" s="468">
        <v>53397</v>
      </c>
      <c r="AJ11025" s="5" t="s">
        <v>3621</v>
      </c>
      <c r="AK11025" s="5" t="s">
        <v>3623</v>
      </c>
    </row>
    <row r="11026" spans="35:37">
      <c r="AI11026" s="468">
        <v>53398</v>
      </c>
      <c r="AJ11026" s="5" t="s">
        <v>3579</v>
      </c>
      <c r="AK11026" s="5" t="s">
        <v>3625</v>
      </c>
    </row>
    <row r="11027" spans="35:37">
      <c r="AI11027" s="468">
        <v>53399</v>
      </c>
      <c r="AJ11027" s="5" t="s">
        <v>3624</v>
      </c>
      <c r="AK11027" s="5" t="s">
        <v>3627</v>
      </c>
    </row>
    <row r="11028" spans="35:37">
      <c r="AI11028" s="468">
        <v>53400</v>
      </c>
      <c r="AJ11028" s="5" t="s">
        <v>3626</v>
      </c>
      <c r="AK11028" s="5" t="s">
        <v>3618</v>
      </c>
    </row>
    <row r="11029" spans="35:37">
      <c r="AI11029" s="468">
        <v>53401</v>
      </c>
      <c r="AJ11029" s="5" t="s">
        <v>3628</v>
      </c>
      <c r="AK11029" s="5" t="s">
        <v>3620</v>
      </c>
    </row>
    <row r="11030" spans="35:37">
      <c r="AI11030" s="468">
        <v>53402</v>
      </c>
      <c r="AJ11030" s="5" t="s">
        <v>3617</v>
      </c>
      <c r="AK11030" s="5" t="s">
        <v>3622</v>
      </c>
    </row>
    <row r="11031" spans="35:37">
      <c r="AI11031" s="468">
        <v>53403</v>
      </c>
      <c r="AJ11031" s="5" t="s">
        <v>3619</v>
      </c>
      <c r="AK11031" s="5" t="s">
        <v>3623</v>
      </c>
    </row>
    <row r="11032" spans="35:37">
      <c r="AI11032" s="468">
        <v>53404</v>
      </c>
      <c r="AJ11032" s="5" t="s">
        <v>3621</v>
      </c>
      <c r="AK11032" s="5" t="s">
        <v>3625</v>
      </c>
    </row>
    <row r="11033" spans="35:37">
      <c r="AI11033" s="468">
        <v>53405</v>
      </c>
      <c r="AJ11033" s="5" t="s">
        <v>3579</v>
      </c>
      <c r="AK11033" s="5" t="s">
        <v>3627</v>
      </c>
    </row>
    <row r="11034" spans="35:37">
      <c r="AI11034" s="468">
        <v>53406</v>
      </c>
      <c r="AJ11034" s="5" t="s">
        <v>3624</v>
      </c>
      <c r="AK11034" s="5" t="s">
        <v>3618</v>
      </c>
    </row>
    <row r="11035" spans="35:37">
      <c r="AI11035" s="468">
        <v>53407</v>
      </c>
      <c r="AJ11035" s="5" t="s">
        <v>3626</v>
      </c>
      <c r="AK11035" s="5" t="s">
        <v>3620</v>
      </c>
    </row>
    <row r="11036" spans="35:37">
      <c r="AI11036" s="468">
        <v>53408</v>
      </c>
      <c r="AJ11036" s="5" t="s">
        <v>3628</v>
      </c>
      <c r="AK11036" s="5" t="s">
        <v>3622</v>
      </c>
    </row>
    <row r="11037" spans="35:37">
      <c r="AI11037" s="468">
        <v>53409</v>
      </c>
      <c r="AJ11037" s="5" t="s">
        <v>3617</v>
      </c>
      <c r="AK11037" s="5" t="s">
        <v>3623</v>
      </c>
    </row>
    <row r="11038" spans="35:37">
      <c r="AI11038" s="468">
        <v>53410</v>
      </c>
      <c r="AJ11038" s="5" t="s">
        <v>3619</v>
      </c>
      <c r="AK11038" s="5" t="s">
        <v>3625</v>
      </c>
    </row>
    <row r="11039" spans="35:37">
      <c r="AI11039" s="468">
        <v>53411</v>
      </c>
      <c r="AJ11039" s="5" t="s">
        <v>3621</v>
      </c>
      <c r="AK11039" s="5" t="s">
        <v>3627</v>
      </c>
    </row>
    <row r="11040" spans="35:37">
      <c r="AI11040" s="468">
        <v>53412</v>
      </c>
      <c r="AJ11040" s="5" t="s">
        <v>3579</v>
      </c>
      <c r="AK11040" s="5" t="s">
        <v>3618</v>
      </c>
    </row>
    <row r="11041" spans="35:37">
      <c r="AI11041" s="468">
        <v>53413</v>
      </c>
      <c r="AJ11041" s="5" t="s">
        <v>3624</v>
      </c>
      <c r="AK11041" s="5" t="s">
        <v>3620</v>
      </c>
    </row>
    <row r="11042" spans="35:37">
      <c r="AI11042" s="468">
        <v>53414</v>
      </c>
      <c r="AJ11042" s="5" t="s">
        <v>3626</v>
      </c>
      <c r="AK11042" s="5" t="s">
        <v>3622</v>
      </c>
    </row>
    <row r="11043" spans="35:37">
      <c r="AI11043" s="468">
        <v>53415</v>
      </c>
      <c r="AJ11043" s="5" t="s">
        <v>3628</v>
      </c>
      <c r="AK11043" s="5" t="s">
        <v>3623</v>
      </c>
    </row>
    <row r="11044" spans="35:37">
      <c r="AI11044" s="468">
        <v>53416</v>
      </c>
      <c r="AJ11044" s="5" t="s">
        <v>3617</v>
      </c>
      <c r="AK11044" s="5" t="s">
        <v>3625</v>
      </c>
    </row>
    <row r="11045" spans="35:37">
      <c r="AI11045" s="468">
        <v>53417</v>
      </c>
      <c r="AJ11045" s="5" t="s">
        <v>3619</v>
      </c>
      <c r="AK11045" s="5" t="s">
        <v>3627</v>
      </c>
    </row>
    <row r="11046" spans="35:37">
      <c r="AI11046" s="468">
        <v>53418</v>
      </c>
      <c r="AJ11046" s="5" t="s">
        <v>3621</v>
      </c>
      <c r="AK11046" s="5" t="s">
        <v>3618</v>
      </c>
    </row>
    <row r="11047" spans="35:37">
      <c r="AI11047" s="468">
        <v>53419</v>
      </c>
      <c r="AJ11047" s="5" t="s">
        <v>3579</v>
      </c>
      <c r="AK11047" s="5" t="s">
        <v>3620</v>
      </c>
    </row>
    <row r="11048" spans="35:37">
      <c r="AI11048" s="468">
        <v>53420</v>
      </c>
      <c r="AJ11048" s="5" t="s">
        <v>3624</v>
      </c>
      <c r="AK11048" s="5" t="s">
        <v>3622</v>
      </c>
    </row>
    <row r="11049" spans="35:37">
      <c r="AI11049" s="468">
        <v>53421</v>
      </c>
      <c r="AJ11049" s="5" t="s">
        <v>3626</v>
      </c>
      <c r="AK11049" s="5" t="s">
        <v>3623</v>
      </c>
    </row>
    <row r="11050" spans="35:37">
      <c r="AI11050" s="468">
        <v>53422</v>
      </c>
      <c r="AJ11050" s="5" t="s">
        <v>3628</v>
      </c>
      <c r="AK11050" s="5" t="s">
        <v>3625</v>
      </c>
    </row>
    <row r="11051" spans="35:37">
      <c r="AI11051" s="468">
        <v>53423</v>
      </c>
      <c r="AJ11051" s="5" t="s">
        <v>3617</v>
      </c>
      <c r="AK11051" s="5" t="s">
        <v>3620</v>
      </c>
    </row>
    <row r="11052" spans="35:37">
      <c r="AI11052" s="468">
        <v>53424</v>
      </c>
      <c r="AJ11052" s="5" t="s">
        <v>3619</v>
      </c>
      <c r="AK11052" s="5" t="s">
        <v>3622</v>
      </c>
    </row>
    <row r="11053" spans="35:37">
      <c r="AI11053" s="468">
        <v>53425</v>
      </c>
      <c r="AJ11053" s="5" t="s">
        <v>3621</v>
      </c>
      <c r="AK11053" s="5" t="s">
        <v>3623</v>
      </c>
    </row>
    <row r="11054" spans="35:37">
      <c r="AI11054" s="468">
        <v>53426</v>
      </c>
      <c r="AJ11054" s="5" t="s">
        <v>3579</v>
      </c>
      <c r="AK11054" s="5" t="s">
        <v>3625</v>
      </c>
    </row>
    <row r="11055" spans="35:37">
      <c r="AI11055" s="468">
        <v>53427</v>
      </c>
      <c r="AJ11055" s="5" t="s">
        <v>3624</v>
      </c>
      <c r="AK11055" s="5" t="s">
        <v>3627</v>
      </c>
    </row>
    <row r="11056" spans="35:37">
      <c r="AI11056" s="468">
        <v>53428</v>
      </c>
      <c r="AJ11056" s="5" t="s">
        <v>3626</v>
      </c>
      <c r="AK11056" s="5" t="s">
        <v>3618</v>
      </c>
    </row>
    <row r="11057" spans="35:37">
      <c r="AI11057" s="468">
        <v>53429</v>
      </c>
      <c r="AJ11057" s="5" t="s">
        <v>3628</v>
      </c>
      <c r="AK11057" s="5" t="s">
        <v>3620</v>
      </c>
    </row>
    <row r="11058" spans="35:37">
      <c r="AI11058" s="468">
        <v>53430</v>
      </c>
      <c r="AJ11058" s="5" t="s">
        <v>3617</v>
      </c>
      <c r="AK11058" s="5" t="s">
        <v>3622</v>
      </c>
    </row>
    <row r="11059" spans="35:37">
      <c r="AI11059" s="468">
        <v>53431</v>
      </c>
      <c r="AJ11059" s="5" t="s">
        <v>3619</v>
      </c>
      <c r="AK11059" s="5" t="s">
        <v>3623</v>
      </c>
    </row>
    <row r="11060" spans="35:37">
      <c r="AI11060" s="468">
        <v>53432</v>
      </c>
      <c r="AJ11060" s="5" t="s">
        <v>3621</v>
      </c>
      <c r="AK11060" s="5" t="s">
        <v>3625</v>
      </c>
    </row>
    <row r="11061" spans="35:37">
      <c r="AI11061" s="468">
        <v>53433</v>
      </c>
      <c r="AJ11061" s="5" t="s">
        <v>3579</v>
      </c>
      <c r="AK11061" s="5" t="s">
        <v>3627</v>
      </c>
    </row>
    <row r="11062" spans="35:37">
      <c r="AI11062" s="468">
        <v>53434</v>
      </c>
      <c r="AJ11062" s="5" t="s">
        <v>3624</v>
      </c>
      <c r="AK11062" s="5" t="s">
        <v>3618</v>
      </c>
    </row>
    <row r="11063" spans="35:37">
      <c r="AI11063" s="468">
        <v>53435</v>
      </c>
      <c r="AJ11063" s="5" t="s">
        <v>3626</v>
      </c>
      <c r="AK11063" s="5" t="s">
        <v>3620</v>
      </c>
    </row>
    <row r="11064" spans="35:37">
      <c r="AI11064" s="468">
        <v>53436</v>
      </c>
      <c r="AJ11064" s="5" t="s">
        <v>3628</v>
      </c>
      <c r="AK11064" s="5" t="s">
        <v>3622</v>
      </c>
    </row>
    <row r="11065" spans="35:37">
      <c r="AI11065" s="468">
        <v>53437</v>
      </c>
      <c r="AJ11065" s="5" t="s">
        <v>3617</v>
      </c>
      <c r="AK11065" s="5" t="s">
        <v>3623</v>
      </c>
    </row>
    <row r="11066" spans="35:37">
      <c r="AI11066" s="468">
        <v>53438</v>
      </c>
      <c r="AJ11066" s="5" t="s">
        <v>3619</v>
      </c>
      <c r="AK11066" s="5" t="s">
        <v>3625</v>
      </c>
    </row>
    <row r="11067" spans="35:37">
      <c r="AI11067" s="468">
        <v>53439</v>
      </c>
      <c r="AJ11067" s="5" t="s">
        <v>3621</v>
      </c>
      <c r="AK11067" s="5" t="s">
        <v>3627</v>
      </c>
    </row>
    <row r="11068" spans="35:37">
      <c r="AI11068" s="468">
        <v>53440</v>
      </c>
      <c r="AJ11068" s="5" t="s">
        <v>3579</v>
      </c>
      <c r="AK11068" s="5" t="s">
        <v>3618</v>
      </c>
    </row>
    <row r="11069" spans="35:37">
      <c r="AI11069" s="468">
        <v>53441</v>
      </c>
      <c r="AJ11069" s="5" t="s">
        <v>3624</v>
      </c>
      <c r="AK11069" s="5" t="s">
        <v>3620</v>
      </c>
    </row>
    <row r="11070" spans="35:37">
      <c r="AI11070" s="468">
        <v>53442</v>
      </c>
      <c r="AJ11070" s="5" t="s">
        <v>3626</v>
      </c>
      <c r="AK11070" s="5" t="s">
        <v>3622</v>
      </c>
    </row>
    <row r="11071" spans="35:37">
      <c r="AI11071" s="468">
        <v>53443</v>
      </c>
      <c r="AJ11071" s="5" t="s">
        <v>3628</v>
      </c>
      <c r="AK11071" s="5" t="s">
        <v>3623</v>
      </c>
    </row>
    <row r="11072" spans="35:37">
      <c r="AI11072" s="468">
        <v>53444</v>
      </c>
      <c r="AJ11072" s="5" t="s">
        <v>3617</v>
      </c>
      <c r="AK11072" s="5" t="s">
        <v>3625</v>
      </c>
    </row>
    <row r="11073" spans="35:37">
      <c r="AI11073" s="468">
        <v>53445</v>
      </c>
      <c r="AJ11073" s="5" t="s">
        <v>3619</v>
      </c>
      <c r="AK11073" s="5" t="s">
        <v>3627</v>
      </c>
    </row>
    <row r="11074" spans="35:37">
      <c r="AI11074" s="468">
        <v>53446</v>
      </c>
      <c r="AJ11074" s="5" t="s">
        <v>3621</v>
      </c>
      <c r="AK11074" s="5" t="s">
        <v>3618</v>
      </c>
    </row>
    <row r="11075" spans="35:37">
      <c r="AI11075" s="468">
        <v>53447</v>
      </c>
      <c r="AJ11075" s="5" t="s">
        <v>3579</v>
      </c>
      <c r="AK11075" s="5" t="s">
        <v>3620</v>
      </c>
    </row>
    <row r="11076" spans="35:37">
      <c r="AI11076" s="468">
        <v>53448</v>
      </c>
      <c r="AJ11076" s="5" t="s">
        <v>3624</v>
      </c>
      <c r="AK11076" s="5" t="s">
        <v>3622</v>
      </c>
    </row>
    <row r="11077" spans="35:37">
      <c r="AI11077" s="468">
        <v>53449</v>
      </c>
      <c r="AJ11077" s="5" t="s">
        <v>3626</v>
      </c>
      <c r="AK11077" s="5" t="s">
        <v>3623</v>
      </c>
    </row>
    <row r="11078" spans="35:37">
      <c r="AI11078" s="468">
        <v>53450</v>
      </c>
      <c r="AJ11078" s="5" t="s">
        <v>3628</v>
      </c>
      <c r="AK11078" s="5" t="s">
        <v>3625</v>
      </c>
    </row>
    <row r="11079" spans="35:37">
      <c r="AI11079" s="468">
        <v>53451</v>
      </c>
      <c r="AJ11079" s="5" t="s">
        <v>3617</v>
      </c>
      <c r="AK11079" s="5" t="s">
        <v>3627</v>
      </c>
    </row>
    <row r="11080" spans="35:37">
      <c r="AI11080" s="468">
        <v>53452</v>
      </c>
      <c r="AJ11080" s="5" t="s">
        <v>3619</v>
      </c>
      <c r="AK11080" s="5" t="s">
        <v>3618</v>
      </c>
    </row>
    <row r="11081" spans="35:37">
      <c r="AI11081" s="468">
        <v>53453</v>
      </c>
      <c r="AJ11081" s="5" t="s">
        <v>3621</v>
      </c>
      <c r="AK11081" s="5" t="s">
        <v>3622</v>
      </c>
    </row>
    <row r="11082" spans="35:37">
      <c r="AI11082" s="468">
        <v>53454</v>
      </c>
      <c r="AJ11082" s="5" t="s">
        <v>3579</v>
      </c>
      <c r="AK11082" s="5" t="s">
        <v>3623</v>
      </c>
    </row>
    <row r="11083" spans="35:37">
      <c r="AI11083" s="468">
        <v>53455</v>
      </c>
      <c r="AJ11083" s="5" t="s">
        <v>3624</v>
      </c>
      <c r="AK11083" s="5" t="s">
        <v>3625</v>
      </c>
    </row>
    <row r="11084" spans="35:37">
      <c r="AI11084" s="468">
        <v>53456</v>
      </c>
      <c r="AJ11084" s="5" t="s">
        <v>3626</v>
      </c>
      <c r="AK11084" s="5" t="s">
        <v>3627</v>
      </c>
    </row>
    <row r="11085" spans="35:37">
      <c r="AI11085" s="468">
        <v>53457</v>
      </c>
      <c r="AJ11085" s="5" t="s">
        <v>3628</v>
      </c>
      <c r="AK11085" s="5" t="s">
        <v>3618</v>
      </c>
    </row>
    <row r="11086" spans="35:37">
      <c r="AI11086" s="468">
        <v>53458</v>
      </c>
      <c r="AJ11086" s="5" t="s">
        <v>3617</v>
      </c>
      <c r="AK11086" s="5" t="s">
        <v>3620</v>
      </c>
    </row>
    <row r="11087" spans="35:37">
      <c r="AI11087" s="468">
        <v>53459</v>
      </c>
      <c r="AJ11087" s="5" t="s">
        <v>3619</v>
      </c>
      <c r="AK11087" s="5" t="s">
        <v>3622</v>
      </c>
    </row>
    <row r="11088" spans="35:37">
      <c r="AI11088" s="468">
        <v>53460</v>
      </c>
      <c r="AJ11088" s="5" t="s">
        <v>3621</v>
      </c>
      <c r="AK11088" s="5" t="s">
        <v>3623</v>
      </c>
    </row>
    <row r="11089" spans="35:37">
      <c r="AI11089" s="468">
        <v>53461</v>
      </c>
      <c r="AJ11089" s="5" t="s">
        <v>3579</v>
      </c>
      <c r="AK11089" s="5" t="s">
        <v>3625</v>
      </c>
    </row>
    <row r="11090" spans="35:37">
      <c r="AI11090" s="468">
        <v>53462</v>
      </c>
      <c r="AJ11090" s="5" t="s">
        <v>3624</v>
      </c>
      <c r="AK11090" s="5" t="s">
        <v>3627</v>
      </c>
    </row>
    <row r="11091" spans="35:37">
      <c r="AI11091" s="468">
        <v>53463</v>
      </c>
      <c r="AJ11091" s="5" t="s">
        <v>3626</v>
      </c>
      <c r="AK11091" s="5" t="s">
        <v>3618</v>
      </c>
    </row>
    <row r="11092" spans="35:37">
      <c r="AI11092" s="468">
        <v>53464</v>
      </c>
      <c r="AJ11092" s="5" t="s">
        <v>3628</v>
      </c>
      <c r="AK11092" s="5" t="s">
        <v>3620</v>
      </c>
    </row>
    <row r="11093" spans="35:37">
      <c r="AI11093" s="468">
        <v>53465</v>
      </c>
      <c r="AJ11093" s="5" t="s">
        <v>3617</v>
      </c>
      <c r="AK11093" s="5" t="s">
        <v>3622</v>
      </c>
    </row>
    <row r="11094" spans="35:37">
      <c r="AI11094" s="468">
        <v>53466</v>
      </c>
      <c r="AJ11094" s="5" t="s">
        <v>3619</v>
      </c>
      <c r="AK11094" s="5" t="s">
        <v>3623</v>
      </c>
    </row>
    <row r="11095" spans="35:37">
      <c r="AI11095" s="468">
        <v>53467</v>
      </c>
      <c r="AJ11095" s="5" t="s">
        <v>3621</v>
      </c>
      <c r="AK11095" s="5" t="s">
        <v>3625</v>
      </c>
    </row>
    <row r="11096" spans="35:37">
      <c r="AI11096" s="468">
        <v>53468</v>
      </c>
      <c r="AJ11096" s="5" t="s">
        <v>3579</v>
      </c>
      <c r="AK11096" s="5" t="s">
        <v>3627</v>
      </c>
    </row>
    <row r="11097" spans="35:37">
      <c r="AI11097" s="468">
        <v>53469</v>
      </c>
      <c r="AJ11097" s="5" t="s">
        <v>3624</v>
      </c>
      <c r="AK11097" s="5" t="s">
        <v>3618</v>
      </c>
    </row>
    <row r="11098" spans="35:37">
      <c r="AI11098" s="468">
        <v>53470</v>
      </c>
      <c r="AJ11098" s="5" t="s">
        <v>3626</v>
      </c>
      <c r="AK11098" s="5" t="s">
        <v>3620</v>
      </c>
    </row>
    <row r="11099" spans="35:37">
      <c r="AI11099" s="468">
        <v>53471</v>
      </c>
      <c r="AJ11099" s="5" t="s">
        <v>3628</v>
      </c>
      <c r="AK11099" s="5" t="s">
        <v>3622</v>
      </c>
    </row>
    <row r="11100" spans="35:37">
      <c r="AI11100" s="468">
        <v>53472</v>
      </c>
      <c r="AJ11100" s="5" t="s">
        <v>3617</v>
      </c>
      <c r="AK11100" s="5" t="s">
        <v>3623</v>
      </c>
    </row>
    <row r="11101" spans="35:37">
      <c r="AI11101" s="468">
        <v>53473</v>
      </c>
      <c r="AJ11101" s="5" t="s">
        <v>3619</v>
      </c>
      <c r="AK11101" s="5" t="s">
        <v>3625</v>
      </c>
    </row>
    <row r="11102" spans="35:37">
      <c r="AI11102" s="468">
        <v>53474</v>
      </c>
      <c r="AJ11102" s="5" t="s">
        <v>3621</v>
      </c>
      <c r="AK11102" s="5" t="s">
        <v>3627</v>
      </c>
    </row>
    <row r="11103" spans="35:37">
      <c r="AI11103" s="468">
        <v>53475</v>
      </c>
      <c r="AJ11103" s="5" t="s">
        <v>3579</v>
      </c>
      <c r="AK11103" s="5" t="s">
        <v>3618</v>
      </c>
    </row>
    <row r="11104" spans="35:37">
      <c r="AI11104" s="468">
        <v>53476</v>
      </c>
      <c r="AJ11104" s="5" t="s">
        <v>3624</v>
      </c>
      <c r="AK11104" s="5" t="s">
        <v>3620</v>
      </c>
    </row>
    <row r="11105" spans="35:37">
      <c r="AI11105" s="468">
        <v>53477</v>
      </c>
      <c r="AJ11105" s="5" t="s">
        <v>3626</v>
      </c>
      <c r="AK11105" s="5" t="s">
        <v>3622</v>
      </c>
    </row>
    <row r="11106" spans="35:37">
      <c r="AI11106" s="468">
        <v>53478</v>
      </c>
      <c r="AJ11106" s="5" t="s">
        <v>3628</v>
      </c>
      <c r="AK11106" s="5" t="s">
        <v>3623</v>
      </c>
    </row>
    <row r="11107" spans="35:37">
      <c r="AI11107" s="468">
        <v>53479</v>
      </c>
      <c r="AJ11107" s="5" t="s">
        <v>3617</v>
      </c>
      <c r="AK11107" s="5" t="s">
        <v>3625</v>
      </c>
    </row>
    <row r="11108" spans="35:37">
      <c r="AI11108" s="468">
        <v>53480</v>
      </c>
      <c r="AJ11108" s="5" t="s">
        <v>3619</v>
      </c>
      <c r="AK11108" s="5" t="s">
        <v>3627</v>
      </c>
    </row>
    <row r="11109" spans="35:37">
      <c r="AI11109" s="468">
        <v>53481</v>
      </c>
      <c r="AJ11109" s="5" t="s">
        <v>3621</v>
      </c>
      <c r="AK11109" s="5" t="s">
        <v>3618</v>
      </c>
    </row>
    <row r="11110" spans="35:37">
      <c r="AI11110" s="468">
        <v>53482</v>
      </c>
      <c r="AJ11110" s="5" t="s">
        <v>3579</v>
      </c>
      <c r="AK11110" s="5" t="s">
        <v>3620</v>
      </c>
    </row>
    <row r="11111" spans="35:37">
      <c r="AI11111" s="468">
        <v>53483</v>
      </c>
      <c r="AJ11111" s="5" t="s">
        <v>3624</v>
      </c>
      <c r="AK11111" s="5" t="s">
        <v>3623</v>
      </c>
    </row>
    <row r="11112" spans="35:37">
      <c r="AI11112" s="468">
        <v>53484</v>
      </c>
      <c r="AJ11112" s="5" t="s">
        <v>3626</v>
      </c>
      <c r="AK11112" s="5" t="s">
        <v>3625</v>
      </c>
    </row>
    <row r="11113" spans="35:37">
      <c r="AI11113" s="468">
        <v>53485</v>
      </c>
      <c r="AJ11113" s="5" t="s">
        <v>3628</v>
      </c>
      <c r="AK11113" s="5" t="s">
        <v>3627</v>
      </c>
    </row>
    <row r="11114" spans="35:37">
      <c r="AI11114" s="468">
        <v>53486</v>
      </c>
      <c r="AJ11114" s="5" t="s">
        <v>3617</v>
      </c>
      <c r="AK11114" s="5" t="s">
        <v>3618</v>
      </c>
    </row>
    <row r="11115" spans="35:37">
      <c r="AI11115" s="468">
        <v>53487</v>
      </c>
      <c r="AJ11115" s="5" t="s">
        <v>3619</v>
      </c>
      <c r="AK11115" s="5" t="s">
        <v>3620</v>
      </c>
    </row>
    <row r="11116" spans="35:37">
      <c r="AI11116" s="468">
        <v>53488</v>
      </c>
      <c r="AJ11116" s="5" t="s">
        <v>3621</v>
      </c>
      <c r="AK11116" s="5" t="s">
        <v>3622</v>
      </c>
    </row>
    <row r="11117" spans="35:37">
      <c r="AI11117" s="468">
        <v>53489</v>
      </c>
      <c r="AJ11117" s="5" t="s">
        <v>3579</v>
      </c>
      <c r="AK11117" s="5" t="s">
        <v>3623</v>
      </c>
    </row>
    <row r="11118" spans="35:37">
      <c r="AI11118" s="468">
        <v>53490</v>
      </c>
      <c r="AJ11118" s="5" t="s">
        <v>3624</v>
      </c>
      <c r="AK11118" s="5" t="s">
        <v>3625</v>
      </c>
    </row>
    <row r="11119" spans="35:37">
      <c r="AI11119" s="468">
        <v>53491</v>
      </c>
      <c r="AJ11119" s="5" t="s">
        <v>3626</v>
      </c>
      <c r="AK11119" s="5" t="s">
        <v>3627</v>
      </c>
    </row>
    <row r="11120" spans="35:37">
      <c r="AI11120" s="468">
        <v>53492</v>
      </c>
      <c r="AJ11120" s="5" t="s">
        <v>3628</v>
      </c>
      <c r="AK11120" s="5" t="s">
        <v>3618</v>
      </c>
    </row>
    <row r="11121" spans="35:37">
      <c r="AI11121" s="468">
        <v>53493</v>
      </c>
      <c r="AJ11121" s="5" t="s">
        <v>3617</v>
      </c>
      <c r="AK11121" s="5" t="s">
        <v>3620</v>
      </c>
    </row>
    <row r="11122" spans="35:37">
      <c r="AI11122" s="468">
        <v>53494</v>
      </c>
      <c r="AJ11122" s="5" t="s">
        <v>3619</v>
      </c>
      <c r="AK11122" s="5" t="s">
        <v>3622</v>
      </c>
    </row>
    <row r="11123" spans="35:37">
      <c r="AI11123" s="468">
        <v>53495</v>
      </c>
      <c r="AJ11123" s="5" t="s">
        <v>3621</v>
      </c>
      <c r="AK11123" s="5" t="s">
        <v>3623</v>
      </c>
    </row>
    <row r="11124" spans="35:37">
      <c r="AI11124" s="468">
        <v>53496</v>
      </c>
      <c r="AJ11124" s="5" t="s">
        <v>3579</v>
      </c>
      <c r="AK11124" s="5" t="s">
        <v>3625</v>
      </c>
    </row>
    <row r="11125" spans="35:37">
      <c r="AI11125" s="468">
        <v>53497</v>
      </c>
      <c r="AJ11125" s="5" t="s">
        <v>3624</v>
      </c>
      <c r="AK11125" s="5" t="s">
        <v>3627</v>
      </c>
    </row>
    <row r="11126" spans="35:37">
      <c r="AI11126" s="468">
        <v>53498</v>
      </c>
      <c r="AJ11126" s="5" t="s">
        <v>3626</v>
      </c>
      <c r="AK11126" s="5" t="s">
        <v>3618</v>
      </c>
    </row>
    <row r="11127" spans="35:37">
      <c r="AI11127" s="468">
        <v>53499</v>
      </c>
      <c r="AJ11127" s="5" t="s">
        <v>3628</v>
      </c>
      <c r="AK11127" s="5" t="s">
        <v>3620</v>
      </c>
    </row>
    <row r="11128" spans="35:37">
      <c r="AI11128" s="468">
        <v>53500</v>
      </c>
      <c r="AJ11128" s="5" t="s">
        <v>3617</v>
      </c>
      <c r="AK11128" s="5" t="s">
        <v>3622</v>
      </c>
    </row>
    <row r="11129" spans="35:37">
      <c r="AI11129" s="468">
        <v>53501</v>
      </c>
      <c r="AJ11129" s="5" t="s">
        <v>3619</v>
      </c>
      <c r="AK11129" s="5" t="s">
        <v>3623</v>
      </c>
    </row>
    <row r="11130" spans="35:37">
      <c r="AI11130" s="468">
        <v>53502</v>
      </c>
      <c r="AJ11130" s="5" t="s">
        <v>3621</v>
      </c>
      <c r="AK11130" s="5" t="s">
        <v>3625</v>
      </c>
    </row>
    <row r="11131" spans="35:37">
      <c r="AI11131" s="468">
        <v>53503</v>
      </c>
      <c r="AJ11131" s="5" t="s">
        <v>3579</v>
      </c>
      <c r="AK11131" s="5" t="s">
        <v>3627</v>
      </c>
    </row>
    <row r="11132" spans="35:37">
      <c r="AI11132" s="468">
        <v>53504</v>
      </c>
      <c r="AJ11132" s="5" t="s">
        <v>3624</v>
      </c>
      <c r="AK11132" s="5" t="s">
        <v>3618</v>
      </c>
    </row>
    <row r="11133" spans="35:37">
      <c r="AI11133" s="468">
        <v>53505</v>
      </c>
      <c r="AJ11133" s="5" t="s">
        <v>3626</v>
      </c>
      <c r="AK11133" s="5" t="s">
        <v>3620</v>
      </c>
    </row>
    <row r="11134" spans="35:37">
      <c r="AI11134" s="468">
        <v>53506</v>
      </c>
      <c r="AJ11134" s="5" t="s">
        <v>3628</v>
      </c>
      <c r="AK11134" s="5" t="s">
        <v>3622</v>
      </c>
    </row>
    <row r="11135" spans="35:37">
      <c r="AI11135" s="468">
        <v>53507</v>
      </c>
      <c r="AJ11135" s="5" t="s">
        <v>3617</v>
      </c>
      <c r="AK11135" s="5" t="s">
        <v>3623</v>
      </c>
    </row>
    <row r="11136" spans="35:37">
      <c r="AI11136" s="468">
        <v>53508</v>
      </c>
      <c r="AJ11136" s="5" t="s">
        <v>3619</v>
      </c>
      <c r="AK11136" s="5" t="s">
        <v>3625</v>
      </c>
    </row>
    <row r="11137" spans="35:37">
      <c r="AI11137" s="468">
        <v>53509</v>
      </c>
      <c r="AJ11137" s="5" t="s">
        <v>3621</v>
      </c>
      <c r="AK11137" s="5" t="s">
        <v>3627</v>
      </c>
    </row>
    <row r="11138" spans="35:37">
      <c r="AI11138" s="468">
        <v>53510</v>
      </c>
      <c r="AJ11138" s="5" t="s">
        <v>3579</v>
      </c>
      <c r="AK11138" s="5" t="s">
        <v>3618</v>
      </c>
    </row>
    <row r="11139" spans="35:37">
      <c r="AI11139" s="468">
        <v>53511</v>
      </c>
      <c r="AJ11139" s="5" t="s">
        <v>3624</v>
      </c>
      <c r="AK11139" s="5" t="s">
        <v>3620</v>
      </c>
    </row>
    <row r="11140" spans="35:37">
      <c r="AI11140" s="468">
        <v>53512</v>
      </c>
      <c r="AJ11140" s="5" t="s">
        <v>3626</v>
      </c>
      <c r="AK11140" s="5" t="s">
        <v>3625</v>
      </c>
    </row>
    <row r="11141" spans="35:37">
      <c r="AI11141" s="468">
        <v>53513</v>
      </c>
      <c r="AJ11141" s="5" t="s">
        <v>3628</v>
      </c>
      <c r="AK11141" s="5" t="s">
        <v>3627</v>
      </c>
    </row>
    <row r="11142" spans="35:37">
      <c r="AI11142" s="468">
        <v>53514</v>
      </c>
      <c r="AJ11142" s="5" t="s">
        <v>3617</v>
      </c>
      <c r="AK11142" s="5" t="s">
        <v>3618</v>
      </c>
    </row>
    <row r="11143" spans="35:37">
      <c r="AI11143" s="468">
        <v>53515</v>
      </c>
      <c r="AJ11143" s="5" t="s">
        <v>3619</v>
      </c>
      <c r="AK11143" s="5" t="s">
        <v>3620</v>
      </c>
    </row>
    <row r="11144" spans="35:37">
      <c r="AI11144" s="468">
        <v>53516</v>
      </c>
      <c r="AJ11144" s="5" t="s">
        <v>3621</v>
      </c>
      <c r="AK11144" s="5" t="s">
        <v>3622</v>
      </c>
    </row>
    <row r="11145" spans="35:37">
      <c r="AI11145" s="468">
        <v>53517</v>
      </c>
      <c r="AJ11145" s="5" t="s">
        <v>3579</v>
      </c>
      <c r="AK11145" s="5" t="s">
        <v>3623</v>
      </c>
    </row>
    <row r="11146" spans="35:37">
      <c r="AI11146" s="468">
        <v>53518</v>
      </c>
      <c r="AJ11146" s="5" t="s">
        <v>3624</v>
      </c>
      <c r="AK11146" s="5" t="s">
        <v>3625</v>
      </c>
    </row>
    <row r="11147" spans="35:37">
      <c r="AI11147" s="468">
        <v>53519</v>
      </c>
      <c r="AJ11147" s="5" t="s">
        <v>3626</v>
      </c>
      <c r="AK11147" s="5" t="s">
        <v>3627</v>
      </c>
    </row>
    <row r="11148" spans="35:37">
      <c r="AI11148" s="468">
        <v>53520</v>
      </c>
      <c r="AJ11148" s="5" t="s">
        <v>3628</v>
      </c>
      <c r="AK11148" s="5" t="s">
        <v>3618</v>
      </c>
    </row>
    <row r="11149" spans="35:37">
      <c r="AI11149" s="468">
        <v>53521</v>
      </c>
      <c r="AJ11149" s="5" t="s">
        <v>3617</v>
      </c>
      <c r="AK11149" s="5" t="s">
        <v>3620</v>
      </c>
    </row>
    <row r="11150" spans="35:37">
      <c r="AI11150" s="468">
        <v>53522</v>
      </c>
      <c r="AJ11150" s="5" t="s">
        <v>3619</v>
      </c>
      <c r="AK11150" s="5" t="s">
        <v>3622</v>
      </c>
    </row>
    <row r="11151" spans="35:37">
      <c r="AI11151" s="468">
        <v>53523</v>
      </c>
      <c r="AJ11151" s="5" t="s">
        <v>3621</v>
      </c>
      <c r="AK11151" s="5" t="s">
        <v>3623</v>
      </c>
    </row>
    <row r="11152" spans="35:37">
      <c r="AI11152" s="468">
        <v>53524</v>
      </c>
      <c r="AJ11152" s="5" t="s">
        <v>3579</v>
      </c>
      <c r="AK11152" s="5" t="s">
        <v>3625</v>
      </c>
    </row>
    <row r="11153" spans="35:37">
      <c r="AI11153" s="468">
        <v>53525</v>
      </c>
      <c r="AJ11153" s="5" t="s">
        <v>3624</v>
      </c>
      <c r="AK11153" s="5" t="s">
        <v>3627</v>
      </c>
    </row>
    <row r="11154" spans="35:37">
      <c r="AI11154" s="468">
        <v>53526</v>
      </c>
      <c r="AJ11154" s="5" t="s">
        <v>3626</v>
      </c>
      <c r="AK11154" s="5" t="s">
        <v>3618</v>
      </c>
    </row>
    <row r="11155" spans="35:37">
      <c r="AI11155" s="468">
        <v>53527</v>
      </c>
      <c r="AJ11155" s="5" t="s">
        <v>3628</v>
      </c>
      <c r="AK11155" s="5" t="s">
        <v>3620</v>
      </c>
    </row>
    <row r="11156" spans="35:37">
      <c r="AI11156" s="468">
        <v>53528</v>
      </c>
      <c r="AJ11156" s="5" t="s">
        <v>3617</v>
      </c>
      <c r="AK11156" s="5" t="s">
        <v>3622</v>
      </c>
    </row>
    <row r="11157" spans="35:37">
      <c r="AI11157" s="468">
        <v>53529</v>
      </c>
      <c r="AJ11157" s="5" t="s">
        <v>3619</v>
      </c>
      <c r="AK11157" s="5" t="s">
        <v>3623</v>
      </c>
    </row>
    <row r="11158" spans="35:37">
      <c r="AI11158" s="468">
        <v>53530</v>
      </c>
      <c r="AJ11158" s="5" t="s">
        <v>3621</v>
      </c>
      <c r="AK11158" s="5" t="s">
        <v>3625</v>
      </c>
    </row>
    <row r="11159" spans="35:37">
      <c r="AI11159" s="468">
        <v>53531</v>
      </c>
      <c r="AJ11159" s="5" t="s">
        <v>3579</v>
      </c>
      <c r="AK11159" s="5" t="s">
        <v>3627</v>
      </c>
    </row>
    <row r="11160" spans="35:37">
      <c r="AI11160" s="468">
        <v>53532</v>
      </c>
      <c r="AJ11160" s="5" t="s">
        <v>3624</v>
      </c>
      <c r="AK11160" s="5" t="s">
        <v>3618</v>
      </c>
    </row>
    <row r="11161" spans="35:37">
      <c r="AI11161" s="468">
        <v>53533</v>
      </c>
      <c r="AJ11161" s="5" t="s">
        <v>3626</v>
      </c>
      <c r="AK11161" s="5" t="s">
        <v>3620</v>
      </c>
    </row>
    <row r="11162" spans="35:37">
      <c r="AI11162" s="468">
        <v>53534</v>
      </c>
      <c r="AJ11162" s="5" t="s">
        <v>3628</v>
      </c>
      <c r="AK11162" s="5" t="s">
        <v>3622</v>
      </c>
    </row>
    <row r="11163" spans="35:37">
      <c r="AI11163" s="468">
        <v>53535</v>
      </c>
      <c r="AJ11163" s="5" t="s">
        <v>3617</v>
      </c>
      <c r="AK11163" s="5" t="s">
        <v>3623</v>
      </c>
    </row>
    <row r="11164" spans="35:37">
      <c r="AI11164" s="468">
        <v>53536</v>
      </c>
      <c r="AJ11164" s="5" t="s">
        <v>3619</v>
      </c>
      <c r="AK11164" s="5" t="s">
        <v>3625</v>
      </c>
    </row>
    <row r="11165" spans="35:37">
      <c r="AI11165" s="468">
        <v>53537</v>
      </c>
      <c r="AJ11165" s="5" t="s">
        <v>3621</v>
      </c>
      <c r="AK11165" s="5" t="s">
        <v>3627</v>
      </c>
    </row>
    <row r="11166" spans="35:37">
      <c r="AI11166" s="468">
        <v>53538</v>
      </c>
      <c r="AJ11166" s="5" t="s">
        <v>3579</v>
      </c>
      <c r="AK11166" s="5" t="s">
        <v>3618</v>
      </c>
    </row>
    <row r="11167" spans="35:37">
      <c r="AI11167" s="468">
        <v>53539</v>
      </c>
      <c r="AJ11167" s="5" t="s">
        <v>3624</v>
      </c>
      <c r="AK11167" s="5" t="s">
        <v>3620</v>
      </c>
    </row>
    <row r="11168" spans="35:37">
      <c r="AI11168" s="468">
        <v>53540</v>
      </c>
      <c r="AJ11168" s="5" t="s">
        <v>3626</v>
      </c>
      <c r="AK11168" s="5" t="s">
        <v>3622</v>
      </c>
    </row>
    <row r="11169" spans="35:37">
      <c r="AI11169" s="468">
        <v>53541</v>
      </c>
      <c r="AJ11169" s="5" t="s">
        <v>3628</v>
      </c>
      <c r="AK11169" s="5" t="s">
        <v>3627</v>
      </c>
    </row>
    <row r="11170" spans="35:37">
      <c r="AI11170" s="468">
        <v>53542</v>
      </c>
      <c r="AJ11170" s="5" t="s">
        <v>3617</v>
      </c>
      <c r="AK11170" s="5" t="s">
        <v>3618</v>
      </c>
    </row>
    <row r="11171" spans="35:37">
      <c r="AI11171" s="468">
        <v>53543</v>
      </c>
      <c r="AJ11171" s="5" t="s">
        <v>3619</v>
      </c>
      <c r="AK11171" s="5" t="s">
        <v>3620</v>
      </c>
    </row>
    <row r="11172" spans="35:37">
      <c r="AI11172" s="468">
        <v>53544</v>
      </c>
      <c r="AJ11172" s="5" t="s">
        <v>3621</v>
      </c>
      <c r="AK11172" s="5" t="s">
        <v>3622</v>
      </c>
    </row>
    <row r="11173" spans="35:37">
      <c r="AI11173" s="468">
        <v>53545</v>
      </c>
      <c r="AJ11173" s="5" t="s">
        <v>3579</v>
      </c>
      <c r="AK11173" s="5" t="s">
        <v>3623</v>
      </c>
    </row>
    <row r="11174" spans="35:37">
      <c r="AI11174" s="468">
        <v>53546</v>
      </c>
      <c r="AJ11174" s="5" t="s">
        <v>3624</v>
      </c>
      <c r="AK11174" s="5" t="s">
        <v>3625</v>
      </c>
    </row>
    <row r="11175" spans="35:37">
      <c r="AI11175" s="468">
        <v>53547</v>
      </c>
      <c r="AJ11175" s="5" t="s">
        <v>3626</v>
      </c>
      <c r="AK11175" s="5" t="s">
        <v>3627</v>
      </c>
    </row>
    <row r="11176" spans="35:37">
      <c r="AI11176" s="468">
        <v>53548</v>
      </c>
      <c r="AJ11176" s="5" t="s">
        <v>3628</v>
      </c>
      <c r="AK11176" s="5" t="s">
        <v>3618</v>
      </c>
    </row>
    <row r="11177" spans="35:37">
      <c r="AI11177" s="468">
        <v>53549</v>
      </c>
      <c r="AJ11177" s="5" t="s">
        <v>3617</v>
      </c>
      <c r="AK11177" s="5" t="s">
        <v>3620</v>
      </c>
    </row>
    <row r="11178" spans="35:37">
      <c r="AI11178" s="468">
        <v>53550</v>
      </c>
      <c r="AJ11178" s="5" t="s">
        <v>3619</v>
      </c>
      <c r="AK11178" s="5" t="s">
        <v>3622</v>
      </c>
    </row>
    <row r="11179" spans="35:37">
      <c r="AI11179" s="468">
        <v>53551</v>
      </c>
      <c r="AJ11179" s="5" t="s">
        <v>3621</v>
      </c>
      <c r="AK11179" s="5" t="s">
        <v>3623</v>
      </c>
    </row>
    <row r="11180" spans="35:37">
      <c r="AI11180" s="468">
        <v>53552</v>
      </c>
      <c r="AJ11180" s="5" t="s">
        <v>3579</v>
      </c>
      <c r="AK11180" s="5" t="s">
        <v>3625</v>
      </c>
    </row>
    <row r="11181" spans="35:37">
      <c r="AI11181" s="468">
        <v>53553</v>
      </c>
      <c r="AJ11181" s="5" t="s">
        <v>3624</v>
      </c>
      <c r="AK11181" s="5" t="s">
        <v>3627</v>
      </c>
    </row>
    <row r="11182" spans="35:37">
      <c r="AI11182" s="468">
        <v>53554</v>
      </c>
      <c r="AJ11182" s="5" t="s">
        <v>3626</v>
      </c>
      <c r="AK11182" s="5" t="s">
        <v>3618</v>
      </c>
    </row>
    <row r="11183" spans="35:37">
      <c r="AI11183" s="468">
        <v>53555</v>
      </c>
      <c r="AJ11183" s="5" t="s">
        <v>3628</v>
      </c>
      <c r="AK11183" s="5" t="s">
        <v>3620</v>
      </c>
    </row>
    <row r="11184" spans="35:37">
      <c r="AI11184" s="468">
        <v>53556</v>
      </c>
      <c r="AJ11184" s="5" t="s">
        <v>3617</v>
      </c>
      <c r="AK11184" s="5" t="s">
        <v>3622</v>
      </c>
    </row>
    <row r="11185" spans="35:37">
      <c r="AI11185" s="468">
        <v>53557</v>
      </c>
      <c r="AJ11185" s="5" t="s">
        <v>3619</v>
      </c>
      <c r="AK11185" s="5" t="s">
        <v>3623</v>
      </c>
    </row>
    <row r="11186" spans="35:37">
      <c r="AI11186" s="468">
        <v>53558</v>
      </c>
      <c r="AJ11186" s="5" t="s">
        <v>3621</v>
      </c>
      <c r="AK11186" s="5" t="s">
        <v>3625</v>
      </c>
    </row>
    <row r="11187" spans="35:37">
      <c r="AI11187" s="468">
        <v>53559</v>
      </c>
      <c r="AJ11187" s="5" t="s">
        <v>3579</v>
      </c>
      <c r="AK11187" s="5" t="s">
        <v>3627</v>
      </c>
    </row>
    <row r="11188" spans="35:37">
      <c r="AI11188" s="468">
        <v>53560</v>
      </c>
      <c r="AJ11188" s="5" t="s">
        <v>3624</v>
      </c>
      <c r="AK11188" s="5" t="s">
        <v>3618</v>
      </c>
    </row>
    <row r="11189" spans="35:37">
      <c r="AI11189" s="468">
        <v>53561</v>
      </c>
      <c r="AJ11189" s="5" t="s">
        <v>3626</v>
      </c>
      <c r="AK11189" s="5" t="s">
        <v>3620</v>
      </c>
    </row>
    <row r="11190" spans="35:37">
      <c r="AI11190" s="468">
        <v>53562</v>
      </c>
      <c r="AJ11190" s="5" t="s">
        <v>3628</v>
      </c>
      <c r="AK11190" s="5" t="s">
        <v>3622</v>
      </c>
    </row>
    <row r="11191" spans="35:37">
      <c r="AI11191" s="468">
        <v>53563</v>
      </c>
      <c r="AJ11191" s="5" t="s">
        <v>3617</v>
      </c>
      <c r="AK11191" s="5" t="s">
        <v>3623</v>
      </c>
    </row>
    <row r="11192" spans="35:37">
      <c r="AI11192" s="468">
        <v>53564</v>
      </c>
      <c r="AJ11192" s="5" t="s">
        <v>3619</v>
      </c>
      <c r="AK11192" s="5" t="s">
        <v>3625</v>
      </c>
    </row>
    <row r="11193" spans="35:37">
      <c r="AI11193" s="468">
        <v>53565</v>
      </c>
      <c r="AJ11193" s="5" t="s">
        <v>3621</v>
      </c>
      <c r="AK11193" s="5" t="s">
        <v>3627</v>
      </c>
    </row>
    <row r="11194" spans="35:37">
      <c r="AI11194" s="468">
        <v>53566</v>
      </c>
      <c r="AJ11194" s="5" t="s">
        <v>3579</v>
      </c>
      <c r="AK11194" s="5" t="s">
        <v>3618</v>
      </c>
    </row>
    <row r="11195" spans="35:37">
      <c r="AI11195" s="468">
        <v>53567</v>
      </c>
      <c r="AJ11195" s="5" t="s">
        <v>3624</v>
      </c>
      <c r="AK11195" s="5" t="s">
        <v>3620</v>
      </c>
    </row>
    <row r="11196" spans="35:37">
      <c r="AI11196" s="468">
        <v>53568</v>
      </c>
      <c r="AJ11196" s="5" t="s">
        <v>3626</v>
      </c>
      <c r="AK11196" s="5" t="s">
        <v>3622</v>
      </c>
    </row>
    <row r="11197" spans="35:37">
      <c r="AI11197" s="468">
        <v>53569</v>
      </c>
      <c r="AJ11197" s="5" t="s">
        <v>3628</v>
      </c>
      <c r="AK11197" s="5" t="s">
        <v>3623</v>
      </c>
    </row>
    <row r="11198" spans="35:37">
      <c r="AI11198" s="468">
        <v>53570</v>
      </c>
      <c r="AJ11198" s="5" t="s">
        <v>3617</v>
      </c>
      <c r="AK11198" s="5" t="s">
        <v>3625</v>
      </c>
    </row>
    <row r="11199" spans="35:37">
      <c r="AI11199" s="468">
        <v>53571</v>
      </c>
      <c r="AJ11199" s="5" t="s">
        <v>3619</v>
      </c>
      <c r="AK11199" s="5" t="s">
        <v>3618</v>
      </c>
    </row>
    <row r="11200" spans="35:37">
      <c r="AI11200" s="468">
        <v>53572</v>
      </c>
      <c r="AJ11200" s="5" t="s">
        <v>3621</v>
      </c>
      <c r="AK11200" s="5" t="s">
        <v>3620</v>
      </c>
    </row>
    <row r="11201" spans="35:37">
      <c r="AI11201" s="468">
        <v>53573</v>
      </c>
      <c r="AJ11201" s="5" t="s">
        <v>3579</v>
      </c>
      <c r="AK11201" s="5" t="s">
        <v>3622</v>
      </c>
    </row>
    <row r="11202" spans="35:37">
      <c r="AI11202" s="468">
        <v>53574</v>
      </c>
      <c r="AJ11202" s="5" t="s">
        <v>3624</v>
      </c>
      <c r="AK11202" s="5" t="s">
        <v>3623</v>
      </c>
    </row>
    <row r="11203" spans="35:37">
      <c r="AI11203" s="468">
        <v>53575</v>
      </c>
      <c r="AJ11203" s="5" t="s">
        <v>3626</v>
      </c>
      <c r="AK11203" s="5" t="s">
        <v>3625</v>
      </c>
    </row>
    <row r="11204" spans="35:37">
      <c r="AI11204" s="468">
        <v>53576</v>
      </c>
      <c r="AJ11204" s="5" t="s">
        <v>3628</v>
      </c>
      <c r="AK11204" s="5" t="s">
        <v>3627</v>
      </c>
    </row>
    <row r="11205" spans="35:37">
      <c r="AI11205" s="468">
        <v>53577</v>
      </c>
      <c r="AJ11205" s="5" t="s">
        <v>3617</v>
      </c>
      <c r="AK11205" s="5" t="s">
        <v>3618</v>
      </c>
    </row>
    <row r="11206" spans="35:37">
      <c r="AI11206" s="468">
        <v>53578</v>
      </c>
      <c r="AJ11206" s="5" t="s">
        <v>3619</v>
      </c>
      <c r="AK11206" s="5" t="s">
        <v>3620</v>
      </c>
    </row>
    <row r="11207" spans="35:37">
      <c r="AI11207" s="468">
        <v>53579</v>
      </c>
      <c r="AJ11207" s="5" t="s">
        <v>3621</v>
      </c>
      <c r="AK11207" s="5" t="s">
        <v>3622</v>
      </c>
    </row>
    <row r="11208" spans="35:37">
      <c r="AI11208" s="468">
        <v>53580</v>
      </c>
      <c r="AJ11208" s="5" t="s">
        <v>3579</v>
      </c>
      <c r="AK11208" s="5" t="s">
        <v>3623</v>
      </c>
    </row>
    <row r="11209" spans="35:37">
      <c r="AI11209" s="468">
        <v>53581</v>
      </c>
      <c r="AJ11209" s="5" t="s">
        <v>3624</v>
      </c>
      <c r="AK11209" s="5" t="s">
        <v>3625</v>
      </c>
    </row>
    <row r="11210" spans="35:37">
      <c r="AI11210" s="468">
        <v>53582</v>
      </c>
      <c r="AJ11210" s="5" t="s">
        <v>3626</v>
      </c>
      <c r="AK11210" s="5" t="s">
        <v>3627</v>
      </c>
    </row>
    <row r="11211" spans="35:37">
      <c r="AI11211" s="468">
        <v>53583</v>
      </c>
      <c r="AJ11211" s="5" t="s">
        <v>3628</v>
      </c>
      <c r="AK11211" s="5" t="s">
        <v>3618</v>
      </c>
    </row>
    <row r="11212" spans="35:37">
      <c r="AI11212" s="468">
        <v>53584</v>
      </c>
      <c r="AJ11212" s="5" t="s">
        <v>3617</v>
      </c>
      <c r="AK11212" s="5" t="s">
        <v>3620</v>
      </c>
    </row>
    <row r="11213" spans="35:37">
      <c r="AI11213" s="468">
        <v>53585</v>
      </c>
      <c r="AJ11213" s="5" t="s">
        <v>3619</v>
      </c>
      <c r="AK11213" s="5" t="s">
        <v>3622</v>
      </c>
    </row>
    <row r="11214" spans="35:37">
      <c r="AI11214" s="468">
        <v>53586</v>
      </c>
      <c r="AJ11214" s="5" t="s">
        <v>3621</v>
      </c>
      <c r="AK11214" s="5" t="s">
        <v>3623</v>
      </c>
    </row>
    <row r="11215" spans="35:37">
      <c r="AI11215" s="468">
        <v>53587</v>
      </c>
      <c r="AJ11215" s="5" t="s">
        <v>3579</v>
      </c>
      <c r="AK11215" s="5" t="s">
        <v>3625</v>
      </c>
    </row>
    <row r="11216" spans="35:37">
      <c r="AI11216" s="468">
        <v>53588</v>
      </c>
      <c r="AJ11216" s="5" t="s">
        <v>3624</v>
      </c>
      <c r="AK11216" s="5" t="s">
        <v>3627</v>
      </c>
    </row>
    <row r="11217" spans="35:37">
      <c r="AI11217" s="468">
        <v>53589</v>
      </c>
      <c r="AJ11217" s="5" t="s">
        <v>3626</v>
      </c>
      <c r="AK11217" s="5" t="s">
        <v>3618</v>
      </c>
    </row>
    <row r="11218" spans="35:37">
      <c r="AI11218" s="468">
        <v>53590</v>
      </c>
      <c r="AJ11218" s="5" t="s">
        <v>3628</v>
      </c>
      <c r="AK11218" s="5" t="s">
        <v>3620</v>
      </c>
    </row>
    <row r="11219" spans="35:37">
      <c r="AI11219" s="468">
        <v>53591</v>
      </c>
      <c r="AJ11219" s="5" t="s">
        <v>3617</v>
      </c>
      <c r="AK11219" s="5" t="s">
        <v>3622</v>
      </c>
    </row>
    <row r="11220" spans="35:37">
      <c r="AI11220" s="468">
        <v>53592</v>
      </c>
      <c r="AJ11220" s="5" t="s">
        <v>3619</v>
      </c>
      <c r="AK11220" s="5" t="s">
        <v>3623</v>
      </c>
    </row>
    <row r="11221" spans="35:37">
      <c r="AI11221" s="468">
        <v>53593</v>
      </c>
      <c r="AJ11221" s="5" t="s">
        <v>3621</v>
      </c>
      <c r="AK11221" s="5" t="s">
        <v>3625</v>
      </c>
    </row>
    <row r="11222" spans="35:37">
      <c r="AI11222" s="468">
        <v>53594</v>
      </c>
      <c r="AJ11222" s="5" t="s">
        <v>3579</v>
      </c>
      <c r="AK11222" s="5" t="s">
        <v>3627</v>
      </c>
    </row>
    <row r="11223" spans="35:37">
      <c r="AI11223" s="468">
        <v>53595</v>
      </c>
      <c r="AJ11223" s="5" t="s">
        <v>3624</v>
      </c>
      <c r="AK11223" s="5" t="s">
        <v>3618</v>
      </c>
    </row>
    <row r="11224" spans="35:37">
      <c r="AI11224" s="468">
        <v>53596</v>
      </c>
      <c r="AJ11224" s="5" t="s">
        <v>3626</v>
      </c>
      <c r="AK11224" s="5" t="s">
        <v>3620</v>
      </c>
    </row>
    <row r="11225" spans="35:37">
      <c r="AI11225" s="468">
        <v>53597</v>
      </c>
      <c r="AJ11225" s="5" t="s">
        <v>3628</v>
      </c>
      <c r="AK11225" s="5" t="s">
        <v>3622</v>
      </c>
    </row>
    <row r="11226" spans="35:37">
      <c r="AI11226" s="468">
        <v>53598</v>
      </c>
      <c r="AJ11226" s="5" t="s">
        <v>3617</v>
      </c>
      <c r="AK11226" s="5" t="s">
        <v>3623</v>
      </c>
    </row>
    <row r="11227" spans="35:37">
      <c r="AI11227" s="468">
        <v>53599</v>
      </c>
      <c r="AJ11227" s="5" t="s">
        <v>3619</v>
      </c>
      <c r="AK11227" s="5" t="s">
        <v>3625</v>
      </c>
    </row>
    <row r="11228" spans="35:37">
      <c r="AI11228" s="468">
        <v>53600</v>
      </c>
      <c r="AJ11228" s="5" t="s">
        <v>3621</v>
      </c>
      <c r="AK11228" s="5" t="s">
        <v>3620</v>
      </c>
    </row>
    <row r="11229" spans="35:37">
      <c r="AI11229" s="468">
        <v>53601</v>
      </c>
      <c r="AJ11229" s="5" t="s">
        <v>3579</v>
      </c>
      <c r="AK11229" s="5" t="s">
        <v>3622</v>
      </c>
    </row>
    <row r="11230" spans="35:37">
      <c r="AI11230" s="468">
        <v>53602</v>
      </c>
      <c r="AJ11230" s="5" t="s">
        <v>3624</v>
      </c>
      <c r="AK11230" s="5" t="s">
        <v>3623</v>
      </c>
    </row>
    <row r="11231" spans="35:37">
      <c r="AI11231" s="468">
        <v>53603</v>
      </c>
      <c r="AJ11231" s="5" t="s">
        <v>3626</v>
      </c>
      <c r="AK11231" s="5" t="s">
        <v>3625</v>
      </c>
    </row>
    <row r="11232" spans="35:37">
      <c r="AI11232" s="468">
        <v>53604</v>
      </c>
      <c r="AJ11232" s="5" t="s">
        <v>3628</v>
      </c>
      <c r="AK11232" s="5" t="s">
        <v>3627</v>
      </c>
    </row>
    <row r="11233" spans="35:37">
      <c r="AI11233" s="468">
        <v>53605</v>
      </c>
      <c r="AJ11233" s="5" t="s">
        <v>3617</v>
      </c>
      <c r="AK11233" s="5" t="s">
        <v>3618</v>
      </c>
    </row>
    <row r="11234" spans="35:37">
      <c r="AI11234" s="468">
        <v>53606</v>
      </c>
      <c r="AJ11234" s="5" t="s">
        <v>3619</v>
      </c>
      <c r="AK11234" s="5" t="s">
        <v>3620</v>
      </c>
    </row>
    <row r="11235" spans="35:37">
      <c r="AI11235" s="468">
        <v>53607</v>
      </c>
      <c r="AJ11235" s="5" t="s">
        <v>3621</v>
      </c>
      <c r="AK11235" s="5" t="s">
        <v>3622</v>
      </c>
    </row>
    <row r="11236" spans="35:37">
      <c r="AI11236" s="468">
        <v>53608</v>
      </c>
      <c r="AJ11236" s="5" t="s">
        <v>3579</v>
      </c>
      <c r="AK11236" s="5" t="s">
        <v>3623</v>
      </c>
    </row>
    <row r="11237" spans="35:37">
      <c r="AI11237" s="468">
        <v>53609</v>
      </c>
      <c r="AJ11237" s="5" t="s">
        <v>3624</v>
      </c>
      <c r="AK11237" s="5" t="s">
        <v>3625</v>
      </c>
    </row>
    <row r="11238" spans="35:37">
      <c r="AI11238" s="468">
        <v>53610</v>
      </c>
      <c r="AJ11238" s="5" t="s">
        <v>3626</v>
      </c>
      <c r="AK11238" s="5" t="s">
        <v>3627</v>
      </c>
    </row>
    <row r="11239" spans="35:37">
      <c r="AI11239" s="468">
        <v>53611</v>
      </c>
      <c r="AJ11239" s="5" t="s">
        <v>3628</v>
      </c>
      <c r="AK11239" s="5" t="s">
        <v>3618</v>
      </c>
    </row>
    <row r="11240" spans="35:37">
      <c r="AI11240" s="468">
        <v>53612</v>
      </c>
      <c r="AJ11240" s="5" t="s">
        <v>3617</v>
      </c>
      <c r="AK11240" s="5" t="s">
        <v>3620</v>
      </c>
    </row>
    <row r="11241" spans="35:37">
      <c r="AI11241" s="468">
        <v>53613</v>
      </c>
      <c r="AJ11241" s="5" t="s">
        <v>3619</v>
      </c>
      <c r="AK11241" s="5" t="s">
        <v>3622</v>
      </c>
    </row>
    <row r="11242" spans="35:37">
      <c r="AI11242" s="468">
        <v>53614</v>
      </c>
      <c r="AJ11242" s="5" t="s">
        <v>3621</v>
      </c>
      <c r="AK11242" s="5" t="s">
        <v>3623</v>
      </c>
    </row>
    <row r="11243" spans="35:37">
      <c r="AI11243" s="468">
        <v>53615</v>
      </c>
      <c r="AJ11243" s="5" t="s">
        <v>3579</v>
      </c>
      <c r="AK11243" s="5" t="s">
        <v>3625</v>
      </c>
    </row>
    <row r="11244" spans="35:37">
      <c r="AI11244" s="468">
        <v>53616</v>
      </c>
      <c r="AJ11244" s="5" t="s">
        <v>3624</v>
      </c>
      <c r="AK11244" s="5" t="s">
        <v>3627</v>
      </c>
    </row>
    <row r="11245" spans="35:37">
      <c r="AI11245" s="468">
        <v>53617</v>
      </c>
      <c r="AJ11245" s="5" t="s">
        <v>3626</v>
      </c>
      <c r="AK11245" s="5" t="s">
        <v>3618</v>
      </c>
    </row>
    <row r="11246" spans="35:37">
      <c r="AI11246" s="468">
        <v>53618</v>
      </c>
      <c r="AJ11246" s="5" t="s">
        <v>3628</v>
      </c>
      <c r="AK11246" s="5" t="s">
        <v>3620</v>
      </c>
    </row>
    <row r="11247" spans="35:37">
      <c r="AI11247" s="468">
        <v>53619</v>
      </c>
      <c r="AJ11247" s="5" t="s">
        <v>3617</v>
      </c>
      <c r="AK11247" s="5" t="s">
        <v>3622</v>
      </c>
    </row>
    <row r="11248" spans="35:37">
      <c r="AI11248" s="468">
        <v>53620</v>
      </c>
      <c r="AJ11248" s="5" t="s">
        <v>3619</v>
      </c>
      <c r="AK11248" s="5" t="s">
        <v>3623</v>
      </c>
    </row>
    <row r="11249" spans="35:37">
      <c r="AI11249" s="468">
        <v>53621</v>
      </c>
      <c r="AJ11249" s="5" t="s">
        <v>3621</v>
      </c>
      <c r="AK11249" s="5" t="s">
        <v>3625</v>
      </c>
    </row>
    <row r="11250" spans="35:37">
      <c r="AI11250" s="468">
        <v>53622</v>
      </c>
      <c r="AJ11250" s="5" t="s">
        <v>3579</v>
      </c>
      <c r="AK11250" s="5" t="s">
        <v>3627</v>
      </c>
    </row>
    <row r="11251" spans="35:37">
      <c r="AI11251" s="468">
        <v>53623</v>
      </c>
      <c r="AJ11251" s="5" t="s">
        <v>3624</v>
      </c>
      <c r="AK11251" s="5" t="s">
        <v>3618</v>
      </c>
    </row>
    <row r="11252" spans="35:37">
      <c r="AI11252" s="468">
        <v>53624</v>
      </c>
      <c r="AJ11252" s="5" t="s">
        <v>3626</v>
      </c>
      <c r="AK11252" s="5" t="s">
        <v>3620</v>
      </c>
    </row>
    <row r="11253" spans="35:37">
      <c r="AI11253" s="468">
        <v>53625</v>
      </c>
      <c r="AJ11253" s="5" t="s">
        <v>3628</v>
      </c>
      <c r="AK11253" s="5" t="s">
        <v>3622</v>
      </c>
    </row>
    <row r="11254" spans="35:37">
      <c r="AI11254" s="468">
        <v>53626</v>
      </c>
      <c r="AJ11254" s="5" t="s">
        <v>3617</v>
      </c>
      <c r="AK11254" s="5" t="s">
        <v>3623</v>
      </c>
    </row>
    <row r="11255" spans="35:37">
      <c r="AI11255" s="468">
        <v>53627</v>
      </c>
      <c r="AJ11255" s="5" t="s">
        <v>3619</v>
      </c>
      <c r="AK11255" s="5" t="s">
        <v>3625</v>
      </c>
    </row>
    <row r="11256" spans="35:37">
      <c r="AI11256" s="468">
        <v>53628</v>
      </c>
      <c r="AJ11256" s="5" t="s">
        <v>3621</v>
      </c>
      <c r="AK11256" s="5" t="s">
        <v>3627</v>
      </c>
    </row>
    <row r="11257" spans="35:37">
      <c r="AI11257" s="468">
        <v>53629</v>
      </c>
      <c r="AJ11257" s="5" t="s">
        <v>3579</v>
      </c>
      <c r="AK11257" s="5" t="s">
        <v>3622</v>
      </c>
    </row>
    <row r="11258" spans="35:37">
      <c r="AI11258" s="468">
        <v>53630</v>
      </c>
      <c r="AJ11258" s="5" t="s">
        <v>3624</v>
      </c>
      <c r="AK11258" s="5" t="s">
        <v>3623</v>
      </c>
    </row>
    <row r="11259" spans="35:37">
      <c r="AI11259" s="468">
        <v>53631</v>
      </c>
      <c r="AJ11259" s="5" t="s">
        <v>3626</v>
      </c>
      <c r="AK11259" s="5" t="s">
        <v>3625</v>
      </c>
    </row>
    <row r="11260" spans="35:37">
      <c r="AI11260" s="468">
        <v>53632</v>
      </c>
      <c r="AJ11260" s="5" t="s">
        <v>3628</v>
      </c>
      <c r="AK11260" s="5" t="s">
        <v>3627</v>
      </c>
    </row>
    <row r="11261" spans="35:37">
      <c r="AI11261" s="468">
        <v>53633</v>
      </c>
      <c r="AJ11261" s="5" t="s">
        <v>3617</v>
      </c>
      <c r="AK11261" s="5" t="s">
        <v>3618</v>
      </c>
    </row>
    <row r="11262" spans="35:37">
      <c r="AI11262" s="468">
        <v>53634</v>
      </c>
      <c r="AJ11262" s="5" t="s">
        <v>3619</v>
      </c>
      <c r="AK11262" s="5" t="s">
        <v>3620</v>
      </c>
    </row>
    <row r="11263" spans="35:37">
      <c r="AI11263" s="468">
        <v>53635</v>
      </c>
      <c r="AJ11263" s="5" t="s">
        <v>3621</v>
      </c>
      <c r="AK11263" s="5" t="s">
        <v>3622</v>
      </c>
    </row>
    <row r="11264" spans="35:37">
      <c r="AI11264" s="468">
        <v>53636</v>
      </c>
      <c r="AJ11264" s="5" t="s">
        <v>3579</v>
      </c>
      <c r="AK11264" s="5" t="s">
        <v>3623</v>
      </c>
    </row>
    <row r="11265" spans="35:37">
      <c r="AI11265" s="468">
        <v>53637</v>
      </c>
      <c r="AJ11265" s="5" t="s">
        <v>3624</v>
      </c>
      <c r="AK11265" s="5" t="s">
        <v>3625</v>
      </c>
    </row>
    <row r="11266" spans="35:37">
      <c r="AI11266" s="468">
        <v>53638</v>
      </c>
      <c r="AJ11266" s="5" t="s">
        <v>3626</v>
      </c>
      <c r="AK11266" s="5" t="s">
        <v>3627</v>
      </c>
    </row>
    <row r="11267" spans="35:37">
      <c r="AI11267" s="468">
        <v>53639</v>
      </c>
      <c r="AJ11267" s="5" t="s">
        <v>3628</v>
      </c>
      <c r="AK11267" s="5" t="s">
        <v>3618</v>
      </c>
    </row>
    <row r="11268" spans="35:37">
      <c r="AI11268" s="468">
        <v>53640</v>
      </c>
      <c r="AJ11268" s="5" t="s">
        <v>3617</v>
      </c>
      <c r="AK11268" s="5" t="s">
        <v>3620</v>
      </c>
    </row>
    <row r="11269" spans="35:37">
      <c r="AI11269" s="468">
        <v>53641</v>
      </c>
      <c r="AJ11269" s="5" t="s">
        <v>3619</v>
      </c>
      <c r="AK11269" s="5" t="s">
        <v>3622</v>
      </c>
    </row>
    <row r="11270" spans="35:37">
      <c r="AI11270" s="468">
        <v>53642</v>
      </c>
      <c r="AJ11270" s="5" t="s">
        <v>3621</v>
      </c>
      <c r="AK11270" s="5" t="s">
        <v>3623</v>
      </c>
    </row>
    <row r="11271" spans="35:37">
      <c r="AI11271" s="468">
        <v>53643</v>
      </c>
      <c r="AJ11271" s="5" t="s">
        <v>3579</v>
      </c>
      <c r="AK11271" s="5" t="s">
        <v>3625</v>
      </c>
    </row>
    <row r="11272" spans="35:37">
      <c r="AI11272" s="468">
        <v>53644</v>
      </c>
      <c r="AJ11272" s="5" t="s">
        <v>3624</v>
      </c>
      <c r="AK11272" s="5" t="s">
        <v>3627</v>
      </c>
    </row>
    <row r="11273" spans="35:37">
      <c r="AI11273" s="468">
        <v>53645</v>
      </c>
      <c r="AJ11273" s="5" t="s">
        <v>3626</v>
      </c>
      <c r="AK11273" s="5" t="s">
        <v>3618</v>
      </c>
    </row>
    <row r="11274" spans="35:37">
      <c r="AI11274" s="468">
        <v>53646</v>
      </c>
      <c r="AJ11274" s="5" t="s">
        <v>3628</v>
      </c>
      <c r="AK11274" s="5" t="s">
        <v>3620</v>
      </c>
    </row>
    <row r="11275" spans="35:37">
      <c r="AI11275" s="468">
        <v>53647</v>
      </c>
      <c r="AJ11275" s="5" t="s">
        <v>3617</v>
      </c>
      <c r="AK11275" s="5" t="s">
        <v>3622</v>
      </c>
    </row>
    <row r="11276" spans="35:37">
      <c r="AI11276" s="468">
        <v>53648</v>
      </c>
      <c r="AJ11276" s="5" t="s">
        <v>3619</v>
      </c>
      <c r="AK11276" s="5" t="s">
        <v>3623</v>
      </c>
    </row>
    <row r="11277" spans="35:37">
      <c r="AI11277" s="468">
        <v>53649</v>
      </c>
      <c r="AJ11277" s="5" t="s">
        <v>3621</v>
      </c>
      <c r="AK11277" s="5" t="s">
        <v>3625</v>
      </c>
    </row>
    <row r="11278" spans="35:37">
      <c r="AI11278" s="468">
        <v>53650</v>
      </c>
      <c r="AJ11278" s="5" t="s">
        <v>3579</v>
      </c>
      <c r="AK11278" s="5" t="s">
        <v>3627</v>
      </c>
    </row>
    <row r="11279" spans="35:37">
      <c r="AI11279" s="468">
        <v>53651</v>
      </c>
      <c r="AJ11279" s="5" t="s">
        <v>3624</v>
      </c>
      <c r="AK11279" s="5" t="s">
        <v>3618</v>
      </c>
    </row>
    <row r="11280" spans="35:37">
      <c r="AI11280" s="468">
        <v>53652</v>
      </c>
      <c r="AJ11280" s="5" t="s">
        <v>3626</v>
      </c>
      <c r="AK11280" s="5" t="s">
        <v>3620</v>
      </c>
    </row>
    <row r="11281" spans="35:37">
      <c r="AI11281" s="468">
        <v>53653</v>
      </c>
      <c r="AJ11281" s="5" t="s">
        <v>3628</v>
      </c>
      <c r="AK11281" s="5" t="s">
        <v>3622</v>
      </c>
    </row>
    <row r="11282" spans="35:37">
      <c r="AI11282" s="468">
        <v>53654</v>
      </c>
      <c r="AJ11282" s="5" t="s">
        <v>3617</v>
      </c>
      <c r="AK11282" s="5" t="s">
        <v>3623</v>
      </c>
    </row>
    <row r="11283" spans="35:37">
      <c r="AI11283" s="468">
        <v>53655</v>
      </c>
      <c r="AJ11283" s="5" t="s">
        <v>3619</v>
      </c>
      <c r="AK11283" s="5" t="s">
        <v>3625</v>
      </c>
    </row>
    <row r="11284" spans="35:37">
      <c r="AI11284" s="468">
        <v>53656</v>
      </c>
      <c r="AJ11284" s="5" t="s">
        <v>3621</v>
      </c>
      <c r="AK11284" s="5" t="s">
        <v>3627</v>
      </c>
    </row>
    <row r="11285" spans="35:37">
      <c r="AI11285" s="468">
        <v>53657</v>
      </c>
      <c r="AJ11285" s="5" t="s">
        <v>3579</v>
      </c>
      <c r="AK11285" s="5" t="s">
        <v>3618</v>
      </c>
    </row>
    <row r="11286" spans="35:37">
      <c r="AI11286" s="468">
        <v>53658</v>
      </c>
      <c r="AJ11286" s="5" t="s">
        <v>3624</v>
      </c>
      <c r="AK11286" s="5" t="s">
        <v>3620</v>
      </c>
    </row>
    <row r="11287" spans="35:37">
      <c r="AI11287" s="468">
        <v>53659</v>
      </c>
      <c r="AJ11287" s="5" t="s">
        <v>3626</v>
      </c>
      <c r="AK11287" s="5" t="s">
        <v>3623</v>
      </c>
    </row>
    <row r="11288" spans="35:37">
      <c r="AI11288" s="468">
        <v>53660</v>
      </c>
      <c r="AJ11288" s="5" t="s">
        <v>3628</v>
      </c>
      <c r="AK11288" s="5" t="s">
        <v>3625</v>
      </c>
    </row>
    <row r="11289" spans="35:37">
      <c r="AI11289" s="468">
        <v>53661</v>
      </c>
      <c r="AJ11289" s="5" t="s">
        <v>3617</v>
      </c>
      <c r="AK11289" s="5" t="s">
        <v>3627</v>
      </c>
    </row>
    <row r="11290" spans="35:37">
      <c r="AI11290" s="468">
        <v>53662</v>
      </c>
      <c r="AJ11290" s="5" t="s">
        <v>3619</v>
      </c>
      <c r="AK11290" s="5" t="s">
        <v>3618</v>
      </c>
    </row>
    <row r="11291" spans="35:37">
      <c r="AI11291" s="468">
        <v>53663</v>
      </c>
      <c r="AJ11291" s="5" t="s">
        <v>3621</v>
      </c>
      <c r="AK11291" s="5" t="s">
        <v>3620</v>
      </c>
    </row>
    <row r="11292" spans="35:37">
      <c r="AI11292" s="468">
        <v>53664</v>
      </c>
      <c r="AJ11292" s="5" t="s">
        <v>3579</v>
      </c>
      <c r="AK11292" s="5" t="s">
        <v>3622</v>
      </c>
    </row>
    <row r="11293" spans="35:37">
      <c r="AI11293" s="468">
        <v>53665</v>
      </c>
      <c r="AJ11293" s="5" t="s">
        <v>3624</v>
      </c>
      <c r="AK11293" s="5" t="s">
        <v>3623</v>
      </c>
    </row>
    <row r="11294" spans="35:37">
      <c r="AI11294" s="468">
        <v>53666</v>
      </c>
      <c r="AJ11294" s="5" t="s">
        <v>3626</v>
      </c>
      <c r="AK11294" s="5" t="s">
        <v>3625</v>
      </c>
    </row>
    <row r="11295" spans="35:37">
      <c r="AI11295" s="468">
        <v>53667</v>
      </c>
      <c r="AJ11295" s="5" t="s">
        <v>3628</v>
      </c>
      <c r="AK11295" s="5" t="s">
        <v>3627</v>
      </c>
    </row>
    <row r="11296" spans="35:37">
      <c r="AI11296" s="468">
        <v>53668</v>
      </c>
      <c r="AJ11296" s="5" t="s">
        <v>3617</v>
      </c>
      <c r="AK11296" s="5" t="s">
        <v>3618</v>
      </c>
    </row>
    <row r="11297" spans="35:37">
      <c r="AI11297" s="468">
        <v>53669</v>
      </c>
      <c r="AJ11297" s="5" t="s">
        <v>3619</v>
      </c>
      <c r="AK11297" s="5" t="s">
        <v>3620</v>
      </c>
    </row>
    <row r="11298" spans="35:37">
      <c r="AI11298" s="468">
        <v>53670</v>
      </c>
      <c r="AJ11298" s="5" t="s">
        <v>3621</v>
      </c>
      <c r="AK11298" s="5" t="s">
        <v>3622</v>
      </c>
    </row>
    <row r="11299" spans="35:37">
      <c r="AI11299" s="468">
        <v>53671</v>
      </c>
      <c r="AJ11299" s="5" t="s">
        <v>3579</v>
      </c>
      <c r="AK11299" s="5" t="s">
        <v>3623</v>
      </c>
    </row>
    <row r="11300" spans="35:37">
      <c r="AI11300" s="468">
        <v>53672</v>
      </c>
      <c r="AJ11300" s="5" t="s">
        <v>3624</v>
      </c>
      <c r="AK11300" s="5" t="s">
        <v>3625</v>
      </c>
    </row>
    <row r="11301" spans="35:37">
      <c r="AI11301" s="468">
        <v>53673</v>
      </c>
      <c r="AJ11301" s="5" t="s">
        <v>3626</v>
      </c>
      <c r="AK11301" s="5" t="s">
        <v>3627</v>
      </c>
    </row>
    <row r="11302" spans="35:37">
      <c r="AI11302" s="468">
        <v>53674</v>
      </c>
      <c r="AJ11302" s="5" t="s">
        <v>3628</v>
      </c>
      <c r="AK11302" s="5" t="s">
        <v>3618</v>
      </c>
    </row>
    <row r="11303" spans="35:37">
      <c r="AI11303" s="468">
        <v>53675</v>
      </c>
      <c r="AJ11303" s="5" t="s">
        <v>3617</v>
      </c>
      <c r="AK11303" s="5" t="s">
        <v>3620</v>
      </c>
    </row>
    <row r="11304" spans="35:37">
      <c r="AI11304" s="468">
        <v>53676</v>
      </c>
      <c r="AJ11304" s="5" t="s">
        <v>3619</v>
      </c>
      <c r="AK11304" s="5" t="s">
        <v>3622</v>
      </c>
    </row>
    <row r="11305" spans="35:37">
      <c r="AI11305" s="468">
        <v>53677</v>
      </c>
      <c r="AJ11305" s="5" t="s">
        <v>3621</v>
      </c>
      <c r="AK11305" s="5" t="s">
        <v>3623</v>
      </c>
    </row>
    <row r="11306" spans="35:37">
      <c r="AI11306" s="468">
        <v>53678</v>
      </c>
      <c r="AJ11306" s="5" t="s">
        <v>3579</v>
      </c>
      <c r="AK11306" s="5" t="s">
        <v>3625</v>
      </c>
    </row>
    <row r="11307" spans="35:37">
      <c r="AI11307" s="468">
        <v>53679</v>
      </c>
      <c r="AJ11307" s="5" t="s">
        <v>3624</v>
      </c>
      <c r="AK11307" s="5" t="s">
        <v>3627</v>
      </c>
    </row>
    <row r="11308" spans="35:37">
      <c r="AI11308" s="468">
        <v>53680</v>
      </c>
      <c r="AJ11308" s="5" t="s">
        <v>3626</v>
      </c>
      <c r="AK11308" s="5" t="s">
        <v>3618</v>
      </c>
    </row>
    <row r="11309" spans="35:37">
      <c r="AI11309" s="468">
        <v>53681</v>
      </c>
      <c r="AJ11309" s="5" t="s">
        <v>3628</v>
      </c>
      <c r="AK11309" s="5" t="s">
        <v>3620</v>
      </c>
    </row>
    <row r="11310" spans="35:37">
      <c r="AI11310" s="468">
        <v>53682</v>
      </c>
      <c r="AJ11310" s="5" t="s">
        <v>3617</v>
      </c>
      <c r="AK11310" s="5" t="s">
        <v>3622</v>
      </c>
    </row>
    <row r="11311" spans="35:37">
      <c r="AI11311" s="468">
        <v>53683</v>
      </c>
      <c r="AJ11311" s="5" t="s">
        <v>3619</v>
      </c>
      <c r="AK11311" s="5" t="s">
        <v>3623</v>
      </c>
    </row>
    <row r="11312" spans="35:37">
      <c r="AI11312" s="468">
        <v>53684</v>
      </c>
      <c r="AJ11312" s="5" t="s">
        <v>3621</v>
      </c>
      <c r="AK11312" s="5" t="s">
        <v>3625</v>
      </c>
    </row>
    <row r="11313" spans="35:37">
      <c r="AI11313" s="468">
        <v>53685</v>
      </c>
      <c r="AJ11313" s="5" t="s">
        <v>3579</v>
      </c>
      <c r="AK11313" s="5" t="s">
        <v>3627</v>
      </c>
    </row>
    <row r="11314" spans="35:37">
      <c r="AI11314" s="468">
        <v>53686</v>
      </c>
      <c r="AJ11314" s="5" t="s">
        <v>3624</v>
      </c>
      <c r="AK11314" s="5" t="s">
        <v>3618</v>
      </c>
    </row>
    <row r="11315" spans="35:37">
      <c r="AI11315" s="468">
        <v>53687</v>
      </c>
      <c r="AJ11315" s="5" t="s">
        <v>3626</v>
      </c>
      <c r="AK11315" s="5" t="s">
        <v>3620</v>
      </c>
    </row>
    <row r="11316" spans="35:37">
      <c r="AI11316" s="468">
        <v>53688</v>
      </c>
      <c r="AJ11316" s="5" t="s">
        <v>3628</v>
      </c>
      <c r="AK11316" s="5" t="s">
        <v>3625</v>
      </c>
    </row>
    <row r="11317" spans="35:37">
      <c r="AI11317" s="468">
        <v>53689</v>
      </c>
      <c r="AJ11317" s="5" t="s">
        <v>3617</v>
      </c>
      <c r="AK11317" s="5" t="s">
        <v>3627</v>
      </c>
    </row>
    <row r="11318" spans="35:37">
      <c r="AI11318" s="468">
        <v>53690</v>
      </c>
      <c r="AJ11318" s="5" t="s">
        <v>3619</v>
      </c>
      <c r="AK11318" s="5" t="s">
        <v>3618</v>
      </c>
    </row>
    <row r="11319" spans="35:37">
      <c r="AI11319" s="468">
        <v>53691</v>
      </c>
      <c r="AJ11319" s="5" t="s">
        <v>3621</v>
      </c>
      <c r="AK11319" s="5" t="s">
        <v>3620</v>
      </c>
    </row>
    <row r="11320" spans="35:37">
      <c r="AI11320" s="468">
        <v>53692</v>
      </c>
      <c r="AJ11320" s="5" t="s">
        <v>3579</v>
      </c>
      <c r="AK11320" s="5" t="s">
        <v>3622</v>
      </c>
    </row>
    <row r="11321" spans="35:37">
      <c r="AI11321" s="468">
        <v>53693</v>
      </c>
      <c r="AJ11321" s="5" t="s">
        <v>3624</v>
      </c>
      <c r="AK11321" s="5" t="s">
        <v>3623</v>
      </c>
    </row>
    <row r="11322" spans="35:37">
      <c r="AI11322" s="468">
        <v>53694</v>
      </c>
      <c r="AJ11322" s="5" t="s">
        <v>3626</v>
      </c>
      <c r="AK11322" s="5" t="s">
        <v>3625</v>
      </c>
    </row>
    <row r="11323" spans="35:37">
      <c r="AI11323" s="468">
        <v>53695</v>
      </c>
      <c r="AJ11323" s="5" t="s">
        <v>3628</v>
      </c>
      <c r="AK11323" s="5" t="s">
        <v>3627</v>
      </c>
    </row>
    <row r="11324" spans="35:37">
      <c r="AI11324" s="468">
        <v>53696</v>
      </c>
      <c r="AJ11324" s="5" t="s">
        <v>3617</v>
      </c>
      <c r="AK11324" s="5" t="s">
        <v>3618</v>
      </c>
    </row>
    <row r="11325" spans="35:37">
      <c r="AI11325" s="468">
        <v>53697</v>
      </c>
      <c r="AJ11325" s="5" t="s">
        <v>3619</v>
      </c>
      <c r="AK11325" s="5" t="s">
        <v>3620</v>
      </c>
    </row>
    <row r="11326" spans="35:37">
      <c r="AI11326" s="468">
        <v>53698</v>
      </c>
      <c r="AJ11326" s="5" t="s">
        <v>3621</v>
      </c>
      <c r="AK11326" s="5" t="s">
        <v>3622</v>
      </c>
    </row>
    <row r="11327" spans="35:37">
      <c r="AI11327" s="468">
        <v>53699</v>
      </c>
      <c r="AJ11327" s="5" t="s">
        <v>3579</v>
      </c>
      <c r="AK11327" s="5" t="s">
        <v>3623</v>
      </c>
    </row>
    <row r="11328" spans="35:37">
      <c r="AI11328" s="468">
        <v>53700</v>
      </c>
      <c r="AJ11328" s="5" t="s">
        <v>3624</v>
      </c>
      <c r="AK11328" s="5" t="s">
        <v>3625</v>
      </c>
    </row>
    <row r="11329" spans="35:37">
      <c r="AI11329" s="468">
        <v>53701</v>
      </c>
      <c r="AJ11329" s="5" t="s">
        <v>3626</v>
      </c>
      <c r="AK11329" s="5" t="s">
        <v>3627</v>
      </c>
    </row>
    <row r="11330" spans="35:37">
      <c r="AI11330" s="468">
        <v>53702</v>
      </c>
      <c r="AJ11330" s="5" t="s">
        <v>3628</v>
      </c>
      <c r="AK11330" s="5" t="s">
        <v>3618</v>
      </c>
    </row>
    <row r="11331" spans="35:37">
      <c r="AI11331" s="468">
        <v>53703</v>
      </c>
      <c r="AJ11331" s="5" t="s">
        <v>3617</v>
      </c>
      <c r="AK11331" s="5" t="s">
        <v>3620</v>
      </c>
    </row>
    <row r="11332" spans="35:37">
      <c r="AI11332" s="468">
        <v>53704</v>
      </c>
      <c r="AJ11332" s="5" t="s">
        <v>3619</v>
      </c>
      <c r="AK11332" s="5" t="s">
        <v>3622</v>
      </c>
    </row>
    <row r="11333" spans="35:37">
      <c r="AI11333" s="468">
        <v>53705</v>
      </c>
      <c r="AJ11333" s="5" t="s">
        <v>3621</v>
      </c>
      <c r="AK11333" s="5" t="s">
        <v>3623</v>
      </c>
    </row>
    <row r="11334" spans="35:37">
      <c r="AI11334" s="468">
        <v>53706</v>
      </c>
      <c r="AJ11334" s="5" t="s">
        <v>3579</v>
      </c>
      <c r="AK11334" s="5" t="s">
        <v>3625</v>
      </c>
    </row>
    <row r="11335" spans="35:37">
      <c r="AI11335" s="468">
        <v>53707</v>
      </c>
      <c r="AJ11335" s="5" t="s">
        <v>3624</v>
      </c>
      <c r="AK11335" s="5" t="s">
        <v>3627</v>
      </c>
    </row>
    <row r="11336" spans="35:37">
      <c r="AI11336" s="468">
        <v>53708</v>
      </c>
      <c r="AJ11336" s="5" t="s">
        <v>3626</v>
      </c>
      <c r="AK11336" s="5" t="s">
        <v>3618</v>
      </c>
    </row>
    <row r="11337" spans="35:37">
      <c r="AI11337" s="468">
        <v>53709</v>
      </c>
      <c r="AJ11337" s="5" t="s">
        <v>3628</v>
      </c>
      <c r="AK11337" s="5" t="s">
        <v>3620</v>
      </c>
    </row>
    <row r="11338" spans="35:37">
      <c r="AI11338" s="468">
        <v>53710</v>
      </c>
      <c r="AJ11338" s="5" t="s">
        <v>3617</v>
      </c>
      <c r="AK11338" s="5" t="s">
        <v>3622</v>
      </c>
    </row>
    <row r="11339" spans="35:37">
      <c r="AI11339" s="468">
        <v>53711</v>
      </c>
      <c r="AJ11339" s="5" t="s">
        <v>3619</v>
      </c>
      <c r="AK11339" s="5" t="s">
        <v>3623</v>
      </c>
    </row>
    <row r="11340" spans="35:37">
      <c r="AI11340" s="468">
        <v>53712</v>
      </c>
      <c r="AJ11340" s="5" t="s">
        <v>3621</v>
      </c>
      <c r="AK11340" s="5" t="s">
        <v>3625</v>
      </c>
    </row>
    <row r="11341" spans="35:37">
      <c r="AI11341" s="468">
        <v>53713</v>
      </c>
      <c r="AJ11341" s="5" t="s">
        <v>3579</v>
      </c>
      <c r="AK11341" s="5" t="s">
        <v>3627</v>
      </c>
    </row>
    <row r="11342" spans="35:37">
      <c r="AI11342" s="468">
        <v>53714</v>
      </c>
      <c r="AJ11342" s="5" t="s">
        <v>3624</v>
      </c>
      <c r="AK11342" s="5" t="s">
        <v>3618</v>
      </c>
    </row>
    <row r="11343" spans="35:37">
      <c r="AI11343" s="468">
        <v>53715</v>
      </c>
      <c r="AJ11343" s="5" t="s">
        <v>3626</v>
      </c>
      <c r="AK11343" s="5" t="s">
        <v>3620</v>
      </c>
    </row>
    <row r="11344" spans="35:37">
      <c r="AI11344" s="468">
        <v>53716</v>
      </c>
      <c r="AJ11344" s="5" t="s">
        <v>3628</v>
      </c>
      <c r="AK11344" s="5" t="s">
        <v>3622</v>
      </c>
    </row>
    <row r="11345" spans="35:37">
      <c r="AI11345" s="468">
        <v>53717</v>
      </c>
      <c r="AJ11345" s="5" t="s">
        <v>3617</v>
      </c>
      <c r="AK11345" s="5" t="s">
        <v>3623</v>
      </c>
    </row>
    <row r="11346" spans="35:37">
      <c r="AI11346" s="468">
        <v>53718</v>
      </c>
      <c r="AJ11346" s="5" t="s">
        <v>3619</v>
      </c>
      <c r="AK11346" s="5" t="s">
        <v>3627</v>
      </c>
    </row>
    <row r="11347" spans="35:37">
      <c r="AI11347" s="468">
        <v>53719</v>
      </c>
      <c r="AJ11347" s="5" t="s">
        <v>3621</v>
      </c>
      <c r="AK11347" s="5" t="s">
        <v>3618</v>
      </c>
    </row>
    <row r="11348" spans="35:37">
      <c r="AI11348" s="468">
        <v>53720</v>
      </c>
      <c r="AJ11348" s="5" t="s">
        <v>3579</v>
      </c>
      <c r="AK11348" s="5" t="s">
        <v>3620</v>
      </c>
    </row>
    <row r="11349" spans="35:37">
      <c r="AI11349" s="468">
        <v>53721</v>
      </c>
      <c r="AJ11349" s="5" t="s">
        <v>3624</v>
      </c>
      <c r="AK11349" s="5" t="s">
        <v>3622</v>
      </c>
    </row>
    <row r="11350" spans="35:37">
      <c r="AI11350" s="468">
        <v>53722</v>
      </c>
      <c r="AJ11350" s="5" t="s">
        <v>3626</v>
      </c>
      <c r="AK11350" s="5" t="s">
        <v>3623</v>
      </c>
    </row>
    <row r="11351" spans="35:37">
      <c r="AI11351" s="468">
        <v>53723</v>
      </c>
      <c r="AJ11351" s="5" t="s">
        <v>3628</v>
      </c>
      <c r="AK11351" s="5" t="s">
        <v>3625</v>
      </c>
    </row>
    <row r="11352" spans="35:37">
      <c r="AI11352" s="468">
        <v>53724</v>
      </c>
      <c r="AJ11352" s="5" t="s">
        <v>3617</v>
      </c>
      <c r="AK11352" s="5" t="s">
        <v>3627</v>
      </c>
    </row>
    <row r="11353" spans="35:37">
      <c r="AI11353" s="468">
        <v>53725</v>
      </c>
      <c r="AJ11353" s="5" t="s">
        <v>3619</v>
      </c>
      <c r="AK11353" s="5" t="s">
        <v>3618</v>
      </c>
    </row>
    <row r="11354" spans="35:37">
      <c r="AI11354" s="468">
        <v>53726</v>
      </c>
      <c r="AJ11354" s="5" t="s">
        <v>3621</v>
      </c>
      <c r="AK11354" s="5" t="s">
        <v>3620</v>
      </c>
    </row>
    <row r="11355" spans="35:37">
      <c r="AI11355" s="468">
        <v>53727</v>
      </c>
      <c r="AJ11355" s="5" t="s">
        <v>3579</v>
      </c>
      <c r="AK11355" s="5" t="s">
        <v>3622</v>
      </c>
    </row>
    <row r="11356" spans="35:37">
      <c r="AI11356" s="468">
        <v>53728</v>
      </c>
      <c r="AJ11356" s="5" t="s">
        <v>3624</v>
      </c>
      <c r="AK11356" s="5" t="s">
        <v>3623</v>
      </c>
    </row>
    <row r="11357" spans="35:37">
      <c r="AI11357" s="468">
        <v>53729</v>
      </c>
      <c r="AJ11357" s="5" t="s">
        <v>3626</v>
      </c>
      <c r="AK11357" s="5" t="s">
        <v>3625</v>
      </c>
    </row>
    <row r="11358" spans="35:37">
      <c r="AI11358" s="468">
        <v>53730</v>
      </c>
      <c r="AJ11358" s="5" t="s">
        <v>3628</v>
      </c>
      <c r="AK11358" s="5" t="s">
        <v>3627</v>
      </c>
    </row>
    <row r="11359" spans="35:37">
      <c r="AI11359" s="468">
        <v>53731</v>
      </c>
      <c r="AJ11359" s="5" t="s">
        <v>3617</v>
      </c>
      <c r="AK11359" s="5" t="s">
        <v>3618</v>
      </c>
    </row>
    <row r="11360" spans="35:37">
      <c r="AI11360" s="468">
        <v>53732</v>
      </c>
      <c r="AJ11360" s="5" t="s">
        <v>3619</v>
      </c>
      <c r="AK11360" s="5" t="s">
        <v>3620</v>
      </c>
    </row>
    <row r="11361" spans="35:37">
      <c r="AI11361" s="468">
        <v>53733</v>
      </c>
      <c r="AJ11361" s="5" t="s">
        <v>3621</v>
      </c>
      <c r="AK11361" s="5" t="s">
        <v>3622</v>
      </c>
    </row>
    <row r="11362" spans="35:37">
      <c r="AI11362" s="468">
        <v>53734</v>
      </c>
      <c r="AJ11362" s="5" t="s">
        <v>3579</v>
      </c>
      <c r="AK11362" s="5" t="s">
        <v>3623</v>
      </c>
    </row>
    <row r="11363" spans="35:37">
      <c r="AI11363" s="468">
        <v>53735</v>
      </c>
      <c r="AJ11363" s="5" t="s">
        <v>3624</v>
      </c>
      <c r="AK11363" s="5" t="s">
        <v>3625</v>
      </c>
    </row>
    <row r="11364" spans="35:37">
      <c r="AI11364" s="468">
        <v>53736</v>
      </c>
      <c r="AJ11364" s="5" t="s">
        <v>3626</v>
      </c>
      <c r="AK11364" s="5" t="s">
        <v>3627</v>
      </c>
    </row>
    <row r="11365" spans="35:37">
      <c r="AI11365" s="468">
        <v>53737</v>
      </c>
      <c r="AJ11365" s="5" t="s">
        <v>3628</v>
      </c>
      <c r="AK11365" s="5" t="s">
        <v>3618</v>
      </c>
    </row>
    <row r="11366" spans="35:37">
      <c r="AI11366" s="468">
        <v>53738</v>
      </c>
      <c r="AJ11366" s="5" t="s">
        <v>3617</v>
      </c>
      <c r="AK11366" s="5" t="s">
        <v>3620</v>
      </c>
    </row>
    <row r="11367" spans="35:37">
      <c r="AI11367" s="468">
        <v>53739</v>
      </c>
      <c r="AJ11367" s="5" t="s">
        <v>3619</v>
      </c>
      <c r="AK11367" s="5" t="s">
        <v>3622</v>
      </c>
    </row>
    <row r="11368" spans="35:37">
      <c r="AI11368" s="468">
        <v>53740</v>
      </c>
      <c r="AJ11368" s="5" t="s">
        <v>3621</v>
      </c>
      <c r="AK11368" s="5" t="s">
        <v>3623</v>
      </c>
    </row>
    <row r="11369" spans="35:37">
      <c r="AI11369" s="468">
        <v>53741</v>
      </c>
      <c r="AJ11369" s="5" t="s">
        <v>3579</v>
      </c>
      <c r="AK11369" s="5" t="s">
        <v>3625</v>
      </c>
    </row>
    <row r="11370" spans="35:37">
      <c r="AI11370" s="468">
        <v>53742</v>
      </c>
      <c r="AJ11370" s="5" t="s">
        <v>3624</v>
      </c>
      <c r="AK11370" s="5" t="s">
        <v>3627</v>
      </c>
    </row>
    <row r="11371" spans="35:37">
      <c r="AI11371" s="468">
        <v>53743</v>
      </c>
      <c r="AJ11371" s="5" t="s">
        <v>3626</v>
      </c>
      <c r="AK11371" s="5" t="s">
        <v>3618</v>
      </c>
    </row>
    <row r="11372" spans="35:37">
      <c r="AI11372" s="468">
        <v>53744</v>
      </c>
      <c r="AJ11372" s="5" t="s">
        <v>3628</v>
      </c>
      <c r="AK11372" s="5" t="s">
        <v>3620</v>
      </c>
    </row>
    <row r="11373" spans="35:37">
      <c r="AI11373" s="468">
        <v>53745</v>
      </c>
      <c r="AJ11373" s="5" t="s">
        <v>3617</v>
      </c>
      <c r="AK11373" s="5" t="s">
        <v>3622</v>
      </c>
    </row>
    <row r="11374" spans="35:37">
      <c r="AI11374" s="468">
        <v>53746</v>
      </c>
      <c r="AJ11374" s="5" t="s">
        <v>3619</v>
      </c>
      <c r="AK11374" s="5" t="s">
        <v>3623</v>
      </c>
    </row>
    <row r="11375" spans="35:37">
      <c r="AI11375" s="468">
        <v>53747</v>
      </c>
      <c r="AJ11375" s="5" t="s">
        <v>3621</v>
      </c>
      <c r="AK11375" s="5" t="s">
        <v>3625</v>
      </c>
    </row>
    <row r="11376" spans="35:37">
      <c r="AI11376" s="468">
        <v>53748</v>
      </c>
      <c r="AJ11376" s="5" t="s">
        <v>3579</v>
      </c>
      <c r="AK11376" s="5" t="s">
        <v>3618</v>
      </c>
    </row>
    <row r="11377" spans="35:37">
      <c r="AI11377" s="468">
        <v>53749</v>
      </c>
      <c r="AJ11377" s="5" t="s">
        <v>3624</v>
      </c>
      <c r="AK11377" s="5" t="s">
        <v>3620</v>
      </c>
    </row>
    <row r="11378" spans="35:37">
      <c r="AI11378" s="468">
        <v>53750</v>
      </c>
      <c r="AJ11378" s="5" t="s">
        <v>3626</v>
      </c>
      <c r="AK11378" s="5" t="s">
        <v>3622</v>
      </c>
    </row>
    <row r="11379" spans="35:37">
      <c r="AI11379" s="468">
        <v>53751</v>
      </c>
      <c r="AJ11379" s="5" t="s">
        <v>3628</v>
      </c>
      <c r="AK11379" s="5" t="s">
        <v>3623</v>
      </c>
    </row>
    <row r="11380" spans="35:37">
      <c r="AI11380" s="468">
        <v>53752</v>
      </c>
      <c r="AJ11380" s="5" t="s">
        <v>3617</v>
      </c>
      <c r="AK11380" s="5" t="s">
        <v>3625</v>
      </c>
    </row>
    <row r="11381" spans="35:37">
      <c r="AI11381" s="468">
        <v>53753</v>
      </c>
      <c r="AJ11381" s="5" t="s">
        <v>3619</v>
      </c>
      <c r="AK11381" s="5" t="s">
        <v>3627</v>
      </c>
    </row>
    <row r="11382" spans="35:37">
      <c r="AI11382" s="468">
        <v>53754</v>
      </c>
      <c r="AJ11382" s="5" t="s">
        <v>3621</v>
      </c>
      <c r="AK11382" s="5" t="s">
        <v>3618</v>
      </c>
    </row>
    <row r="11383" spans="35:37">
      <c r="AI11383" s="468">
        <v>53755</v>
      </c>
      <c r="AJ11383" s="5" t="s">
        <v>3579</v>
      </c>
      <c r="AK11383" s="5" t="s">
        <v>3620</v>
      </c>
    </row>
    <row r="11384" spans="35:37">
      <c r="AI11384" s="468">
        <v>53756</v>
      </c>
      <c r="AJ11384" s="5" t="s">
        <v>3624</v>
      </c>
      <c r="AK11384" s="5" t="s">
        <v>3622</v>
      </c>
    </row>
    <row r="11385" spans="35:37">
      <c r="AI11385" s="468">
        <v>53757</v>
      </c>
      <c r="AJ11385" s="5" t="s">
        <v>3626</v>
      </c>
      <c r="AK11385" s="5" t="s">
        <v>3623</v>
      </c>
    </row>
    <row r="11386" spans="35:37">
      <c r="AI11386" s="468">
        <v>53758</v>
      </c>
      <c r="AJ11386" s="5" t="s">
        <v>3628</v>
      </c>
      <c r="AK11386" s="5" t="s">
        <v>3625</v>
      </c>
    </row>
    <row r="11387" spans="35:37">
      <c r="AI11387" s="468">
        <v>53759</v>
      </c>
      <c r="AJ11387" s="5" t="s">
        <v>3617</v>
      </c>
      <c r="AK11387" s="5" t="s">
        <v>3627</v>
      </c>
    </row>
    <row r="11388" spans="35:37">
      <c r="AI11388" s="468">
        <v>53760</v>
      </c>
      <c r="AJ11388" s="5" t="s">
        <v>3619</v>
      </c>
      <c r="AK11388" s="5" t="s">
        <v>3618</v>
      </c>
    </row>
    <row r="11389" spans="35:37">
      <c r="AI11389" s="468">
        <v>53761</v>
      </c>
      <c r="AJ11389" s="5" t="s">
        <v>3621</v>
      </c>
      <c r="AK11389" s="5" t="s">
        <v>3620</v>
      </c>
    </row>
    <row r="11390" spans="35:37">
      <c r="AI11390" s="468">
        <v>53762</v>
      </c>
      <c r="AJ11390" s="5" t="s">
        <v>3579</v>
      </c>
      <c r="AK11390" s="5" t="s">
        <v>3622</v>
      </c>
    </row>
    <row r="11391" spans="35:37">
      <c r="AI11391" s="468">
        <v>53763</v>
      </c>
      <c r="AJ11391" s="5" t="s">
        <v>3624</v>
      </c>
      <c r="AK11391" s="5" t="s">
        <v>3623</v>
      </c>
    </row>
    <row r="11392" spans="35:37">
      <c r="AI11392" s="468">
        <v>53764</v>
      </c>
      <c r="AJ11392" s="5" t="s">
        <v>3626</v>
      </c>
      <c r="AK11392" s="5" t="s">
        <v>3625</v>
      </c>
    </row>
    <row r="11393" spans="35:37">
      <c r="AI11393" s="468">
        <v>53765</v>
      </c>
      <c r="AJ11393" s="5" t="s">
        <v>3628</v>
      </c>
      <c r="AK11393" s="5" t="s">
        <v>3627</v>
      </c>
    </row>
    <row r="11394" spans="35:37">
      <c r="AI11394" s="468">
        <v>53766</v>
      </c>
      <c r="AJ11394" s="5" t="s">
        <v>3617</v>
      </c>
      <c r="AK11394" s="5" t="s">
        <v>3618</v>
      </c>
    </row>
    <row r="11395" spans="35:37">
      <c r="AI11395" s="468">
        <v>53767</v>
      </c>
      <c r="AJ11395" s="5" t="s">
        <v>3619</v>
      </c>
      <c r="AK11395" s="5" t="s">
        <v>3620</v>
      </c>
    </row>
    <row r="11396" spans="35:37">
      <c r="AI11396" s="468">
        <v>53768</v>
      </c>
      <c r="AJ11396" s="5" t="s">
        <v>3621</v>
      </c>
      <c r="AK11396" s="5" t="s">
        <v>3622</v>
      </c>
    </row>
    <row r="11397" spans="35:37">
      <c r="AI11397" s="468">
        <v>53769</v>
      </c>
      <c r="AJ11397" s="5" t="s">
        <v>3579</v>
      </c>
      <c r="AK11397" s="5" t="s">
        <v>3623</v>
      </c>
    </row>
    <row r="11398" spans="35:37">
      <c r="AI11398" s="468">
        <v>53770</v>
      </c>
      <c r="AJ11398" s="5" t="s">
        <v>3624</v>
      </c>
      <c r="AK11398" s="5" t="s">
        <v>3625</v>
      </c>
    </row>
    <row r="11399" spans="35:37">
      <c r="AI11399" s="468">
        <v>53771</v>
      </c>
      <c r="AJ11399" s="5" t="s">
        <v>3626</v>
      </c>
      <c r="AK11399" s="5" t="s">
        <v>3627</v>
      </c>
    </row>
    <row r="11400" spans="35:37">
      <c r="AI11400" s="468">
        <v>53772</v>
      </c>
      <c r="AJ11400" s="5" t="s">
        <v>3628</v>
      </c>
      <c r="AK11400" s="5" t="s">
        <v>3618</v>
      </c>
    </row>
    <row r="11401" spans="35:37">
      <c r="AI11401" s="468">
        <v>53773</v>
      </c>
      <c r="AJ11401" s="5" t="s">
        <v>3617</v>
      </c>
      <c r="AK11401" s="5" t="s">
        <v>3620</v>
      </c>
    </row>
    <row r="11402" spans="35:37">
      <c r="AI11402" s="468">
        <v>53774</v>
      </c>
      <c r="AJ11402" s="5" t="s">
        <v>3619</v>
      </c>
      <c r="AK11402" s="5" t="s">
        <v>3622</v>
      </c>
    </row>
    <row r="11403" spans="35:37">
      <c r="AI11403" s="468">
        <v>53775</v>
      </c>
      <c r="AJ11403" s="5" t="s">
        <v>3621</v>
      </c>
      <c r="AK11403" s="5" t="s">
        <v>3623</v>
      </c>
    </row>
    <row r="11404" spans="35:37">
      <c r="AI11404" s="468">
        <v>53776</v>
      </c>
      <c r="AJ11404" s="5" t="s">
        <v>3579</v>
      </c>
      <c r="AK11404" s="5" t="s">
        <v>3625</v>
      </c>
    </row>
    <row r="11405" spans="35:37">
      <c r="AI11405" s="468">
        <v>53777</v>
      </c>
      <c r="AJ11405" s="5" t="s">
        <v>3624</v>
      </c>
      <c r="AK11405" s="5" t="s">
        <v>3620</v>
      </c>
    </row>
    <row r="11406" spans="35:37">
      <c r="AI11406" s="468">
        <v>53778</v>
      </c>
      <c r="AJ11406" s="5" t="s">
        <v>3626</v>
      </c>
      <c r="AK11406" s="5" t="s">
        <v>3622</v>
      </c>
    </row>
    <row r="11407" spans="35:37">
      <c r="AI11407" s="468">
        <v>53779</v>
      </c>
      <c r="AJ11407" s="5" t="s">
        <v>3628</v>
      </c>
      <c r="AK11407" s="5" t="s">
        <v>3623</v>
      </c>
    </row>
    <row r="11408" spans="35:37">
      <c r="AI11408" s="468">
        <v>53780</v>
      </c>
      <c r="AJ11408" s="5" t="s">
        <v>3617</v>
      </c>
      <c r="AK11408" s="5" t="s">
        <v>3625</v>
      </c>
    </row>
    <row r="11409" spans="35:37">
      <c r="AI11409" s="468">
        <v>53781</v>
      </c>
      <c r="AJ11409" s="5" t="s">
        <v>3619</v>
      </c>
      <c r="AK11409" s="5" t="s">
        <v>3627</v>
      </c>
    </row>
    <row r="11410" spans="35:37">
      <c r="AI11410" s="468">
        <v>53782</v>
      </c>
      <c r="AJ11410" s="5" t="s">
        <v>3621</v>
      </c>
      <c r="AK11410" s="5" t="s">
        <v>3618</v>
      </c>
    </row>
    <row r="11411" spans="35:37">
      <c r="AI11411" s="468">
        <v>53783</v>
      </c>
      <c r="AJ11411" s="5" t="s">
        <v>3579</v>
      </c>
      <c r="AK11411" s="5" t="s">
        <v>3620</v>
      </c>
    </row>
    <row r="11412" spans="35:37">
      <c r="AI11412" s="468">
        <v>53784</v>
      </c>
      <c r="AJ11412" s="5" t="s">
        <v>3624</v>
      </c>
      <c r="AK11412" s="5" t="s">
        <v>3622</v>
      </c>
    </row>
    <row r="11413" spans="35:37">
      <c r="AI11413" s="468">
        <v>53785</v>
      </c>
      <c r="AJ11413" s="5" t="s">
        <v>3626</v>
      </c>
      <c r="AK11413" s="5" t="s">
        <v>3623</v>
      </c>
    </row>
    <row r="11414" spans="35:37">
      <c r="AI11414" s="468">
        <v>53786</v>
      </c>
      <c r="AJ11414" s="5" t="s">
        <v>3628</v>
      </c>
      <c r="AK11414" s="5" t="s">
        <v>3625</v>
      </c>
    </row>
    <row r="11415" spans="35:37">
      <c r="AI11415" s="468">
        <v>53787</v>
      </c>
      <c r="AJ11415" s="5" t="s">
        <v>3617</v>
      </c>
      <c r="AK11415" s="5" t="s">
        <v>3627</v>
      </c>
    </row>
    <row r="11416" spans="35:37">
      <c r="AI11416" s="468">
        <v>53788</v>
      </c>
      <c r="AJ11416" s="5" t="s">
        <v>3619</v>
      </c>
      <c r="AK11416" s="5" t="s">
        <v>3618</v>
      </c>
    </row>
    <row r="11417" spans="35:37">
      <c r="AI11417" s="468">
        <v>53789</v>
      </c>
      <c r="AJ11417" s="5" t="s">
        <v>3621</v>
      </c>
      <c r="AK11417" s="5" t="s">
        <v>3620</v>
      </c>
    </row>
    <row r="11418" spans="35:37">
      <c r="AI11418" s="468">
        <v>53790</v>
      </c>
      <c r="AJ11418" s="5" t="s">
        <v>3579</v>
      </c>
      <c r="AK11418" s="5" t="s">
        <v>3622</v>
      </c>
    </row>
    <row r="11419" spans="35:37">
      <c r="AI11419" s="468">
        <v>53791</v>
      </c>
      <c r="AJ11419" s="5" t="s">
        <v>3624</v>
      </c>
      <c r="AK11419" s="5" t="s">
        <v>3623</v>
      </c>
    </row>
    <row r="11420" spans="35:37">
      <c r="AI11420" s="468">
        <v>53792</v>
      </c>
      <c r="AJ11420" s="5" t="s">
        <v>3626</v>
      </c>
      <c r="AK11420" s="5" t="s">
        <v>3625</v>
      </c>
    </row>
    <row r="11421" spans="35:37">
      <c r="AI11421" s="468">
        <v>53793</v>
      </c>
      <c r="AJ11421" s="5" t="s">
        <v>3628</v>
      </c>
      <c r="AK11421" s="5" t="s">
        <v>3627</v>
      </c>
    </row>
    <row r="11422" spans="35:37">
      <c r="AI11422" s="468">
        <v>53794</v>
      </c>
      <c r="AJ11422" s="5" t="s">
        <v>3617</v>
      </c>
      <c r="AK11422" s="5" t="s">
        <v>3618</v>
      </c>
    </row>
    <row r="11423" spans="35:37">
      <c r="AI11423" s="468">
        <v>53795</v>
      </c>
      <c r="AJ11423" s="5" t="s">
        <v>3619</v>
      </c>
      <c r="AK11423" s="5" t="s">
        <v>3620</v>
      </c>
    </row>
    <row r="11424" spans="35:37">
      <c r="AI11424" s="468">
        <v>53796</v>
      </c>
      <c r="AJ11424" s="5" t="s">
        <v>3621</v>
      </c>
      <c r="AK11424" s="5" t="s">
        <v>3622</v>
      </c>
    </row>
    <row r="11425" spans="35:37">
      <c r="AI11425" s="468">
        <v>53797</v>
      </c>
      <c r="AJ11425" s="5" t="s">
        <v>3579</v>
      </c>
      <c r="AK11425" s="5" t="s">
        <v>3623</v>
      </c>
    </row>
    <row r="11426" spans="35:37">
      <c r="AI11426" s="468">
        <v>53798</v>
      </c>
      <c r="AJ11426" s="5" t="s">
        <v>3624</v>
      </c>
      <c r="AK11426" s="5" t="s">
        <v>3625</v>
      </c>
    </row>
    <row r="11427" spans="35:37">
      <c r="AI11427" s="468">
        <v>53799</v>
      </c>
      <c r="AJ11427" s="5" t="s">
        <v>3626</v>
      </c>
      <c r="AK11427" s="5" t="s">
        <v>3627</v>
      </c>
    </row>
    <row r="11428" spans="35:37">
      <c r="AI11428" s="468">
        <v>53800</v>
      </c>
      <c r="AJ11428" s="5" t="s">
        <v>3628</v>
      </c>
      <c r="AK11428" s="5" t="s">
        <v>3618</v>
      </c>
    </row>
    <row r="11429" spans="35:37">
      <c r="AI11429" s="468">
        <v>53801</v>
      </c>
      <c r="AJ11429" s="5" t="s">
        <v>3617</v>
      </c>
      <c r="AK11429" s="5" t="s">
        <v>3620</v>
      </c>
    </row>
    <row r="11430" spans="35:37">
      <c r="AI11430" s="468">
        <v>53802</v>
      </c>
      <c r="AJ11430" s="5" t="s">
        <v>3619</v>
      </c>
      <c r="AK11430" s="5" t="s">
        <v>3622</v>
      </c>
    </row>
    <row r="11431" spans="35:37">
      <c r="AI11431" s="468">
        <v>53803</v>
      </c>
      <c r="AJ11431" s="5" t="s">
        <v>3621</v>
      </c>
      <c r="AK11431" s="5" t="s">
        <v>3623</v>
      </c>
    </row>
    <row r="11432" spans="35:37">
      <c r="AI11432" s="468">
        <v>53804</v>
      </c>
      <c r="AJ11432" s="5" t="s">
        <v>3579</v>
      </c>
      <c r="AK11432" s="5" t="s">
        <v>3625</v>
      </c>
    </row>
    <row r="11433" spans="35:37">
      <c r="AI11433" s="468">
        <v>53805</v>
      </c>
      <c r="AJ11433" s="5" t="s">
        <v>3624</v>
      </c>
      <c r="AK11433" s="5" t="s">
        <v>3627</v>
      </c>
    </row>
    <row r="11434" spans="35:37">
      <c r="AI11434" s="468">
        <v>53806</v>
      </c>
      <c r="AJ11434" s="5" t="s">
        <v>3626</v>
      </c>
      <c r="AK11434" s="5" t="s">
        <v>3618</v>
      </c>
    </row>
    <row r="11435" spans="35:37">
      <c r="AI11435" s="468">
        <v>53807</v>
      </c>
      <c r="AJ11435" s="5" t="s">
        <v>3628</v>
      </c>
      <c r="AK11435" s="5" t="s">
        <v>3622</v>
      </c>
    </row>
    <row r="11436" spans="35:37">
      <c r="AI11436" s="468">
        <v>53808</v>
      </c>
      <c r="AJ11436" s="5" t="s">
        <v>3617</v>
      </c>
      <c r="AK11436" s="5" t="s">
        <v>3623</v>
      </c>
    </row>
    <row r="11437" spans="35:37">
      <c r="AI11437" s="468">
        <v>53809</v>
      </c>
      <c r="AJ11437" s="5" t="s">
        <v>3619</v>
      </c>
      <c r="AK11437" s="5" t="s">
        <v>3625</v>
      </c>
    </row>
    <row r="11438" spans="35:37">
      <c r="AI11438" s="468">
        <v>53810</v>
      </c>
      <c r="AJ11438" s="5" t="s">
        <v>3621</v>
      </c>
      <c r="AK11438" s="5" t="s">
        <v>3627</v>
      </c>
    </row>
    <row r="11439" spans="35:37">
      <c r="AI11439" s="468">
        <v>53811</v>
      </c>
      <c r="AJ11439" s="5" t="s">
        <v>3579</v>
      </c>
      <c r="AK11439" s="5" t="s">
        <v>3618</v>
      </c>
    </row>
    <row r="11440" spans="35:37">
      <c r="AI11440" s="468">
        <v>53812</v>
      </c>
      <c r="AJ11440" s="5" t="s">
        <v>3624</v>
      </c>
      <c r="AK11440" s="5" t="s">
        <v>3620</v>
      </c>
    </row>
    <row r="11441" spans="35:37">
      <c r="AI11441" s="468">
        <v>53813</v>
      </c>
      <c r="AJ11441" s="5" t="s">
        <v>3626</v>
      </c>
      <c r="AK11441" s="5" t="s">
        <v>3622</v>
      </c>
    </row>
    <row r="11442" spans="35:37">
      <c r="AI11442" s="468">
        <v>53814</v>
      </c>
      <c r="AJ11442" s="5" t="s">
        <v>3628</v>
      </c>
      <c r="AK11442" s="5" t="s">
        <v>3623</v>
      </c>
    </row>
    <row r="11443" spans="35:37">
      <c r="AI11443" s="468">
        <v>53815</v>
      </c>
      <c r="AJ11443" s="5" t="s">
        <v>3617</v>
      </c>
      <c r="AK11443" s="5" t="s">
        <v>3625</v>
      </c>
    </row>
    <row r="11444" spans="35:37">
      <c r="AI11444" s="468">
        <v>53816</v>
      </c>
      <c r="AJ11444" s="5" t="s">
        <v>3619</v>
      </c>
      <c r="AK11444" s="5" t="s">
        <v>3627</v>
      </c>
    </row>
    <row r="11445" spans="35:37">
      <c r="AI11445" s="468">
        <v>53817</v>
      </c>
      <c r="AJ11445" s="5" t="s">
        <v>3621</v>
      </c>
      <c r="AK11445" s="5" t="s">
        <v>3618</v>
      </c>
    </row>
    <row r="11446" spans="35:37">
      <c r="AI11446" s="468">
        <v>53818</v>
      </c>
      <c r="AJ11446" s="5" t="s">
        <v>3579</v>
      </c>
      <c r="AK11446" s="5" t="s">
        <v>3620</v>
      </c>
    </row>
    <row r="11447" spans="35:37">
      <c r="AI11447" s="468">
        <v>53819</v>
      </c>
      <c r="AJ11447" s="5" t="s">
        <v>3624</v>
      </c>
      <c r="AK11447" s="5" t="s">
        <v>3622</v>
      </c>
    </row>
    <row r="11448" spans="35:37">
      <c r="AI11448" s="468">
        <v>53820</v>
      </c>
      <c r="AJ11448" s="5" t="s">
        <v>3626</v>
      </c>
      <c r="AK11448" s="5" t="s">
        <v>3623</v>
      </c>
    </row>
    <row r="11449" spans="35:37">
      <c r="AI11449" s="468">
        <v>53821</v>
      </c>
      <c r="AJ11449" s="5" t="s">
        <v>3628</v>
      </c>
      <c r="AK11449" s="5" t="s">
        <v>3625</v>
      </c>
    </row>
    <row r="11450" spans="35:37">
      <c r="AI11450" s="468">
        <v>53822</v>
      </c>
      <c r="AJ11450" s="5" t="s">
        <v>3617</v>
      </c>
      <c r="AK11450" s="5" t="s">
        <v>3627</v>
      </c>
    </row>
    <row r="11451" spans="35:37">
      <c r="AI11451" s="468">
        <v>53823</v>
      </c>
      <c r="AJ11451" s="5" t="s">
        <v>3619</v>
      </c>
      <c r="AK11451" s="5" t="s">
        <v>3618</v>
      </c>
    </row>
    <row r="11452" spans="35:37">
      <c r="AI11452" s="468">
        <v>53824</v>
      </c>
      <c r="AJ11452" s="5" t="s">
        <v>3621</v>
      </c>
      <c r="AK11452" s="5" t="s">
        <v>3620</v>
      </c>
    </row>
    <row r="11453" spans="35:37">
      <c r="AI11453" s="468">
        <v>53825</v>
      </c>
      <c r="AJ11453" s="5" t="s">
        <v>3579</v>
      </c>
      <c r="AK11453" s="5" t="s">
        <v>3622</v>
      </c>
    </row>
    <row r="11454" spans="35:37">
      <c r="AI11454" s="468">
        <v>53826</v>
      </c>
      <c r="AJ11454" s="5" t="s">
        <v>3624</v>
      </c>
      <c r="AK11454" s="5" t="s">
        <v>3623</v>
      </c>
    </row>
    <row r="11455" spans="35:37">
      <c r="AI11455" s="468">
        <v>53827</v>
      </c>
      <c r="AJ11455" s="5" t="s">
        <v>3626</v>
      </c>
      <c r="AK11455" s="5" t="s">
        <v>3625</v>
      </c>
    </row>
    <row r="11456" spans="35:37">
      <c r="AI11456" s="468">
        <v>53828</v>
      </c>
      <c r="AJ11456" s="5" t="s">
        <v>3628</v>
      </c>
      <c r="AK11456" s="5" t="s">
        <v>3627</v>
      </c>
    </row>
    <row r="11457" spans="35:37">
      <c r="AI11457" s="468">
        <v>53829</v>
      </c>
      <c r="AJ11457" s="5" t="s">
        <v>3617</v>
      </c>
      <c r="AK11457" s="5" t="s">
        <v>3618</v>
      </c>
    </row>
    <row r="11458" spans="35:37">
      <c r="AI11458" s="468">
        <v>53830</v>
      </c>
      <c r="AJ11458" s="5" t="s">
        <v>3619</v>
      </c>
      <c r="AK11458" s="5" t="s">
        <v>3620</v>
      </c>
    </row>
    <row r="11459" spans="35:37">
      <c r="AI11459" s="468">
        <v>53831</v>
      </c>
      <c r="AJ11459" s="5" t="s">
        <v>3621</v>
      </c>
      <c r="AK11459" s="5" t="s">
        <v>3622</v>
      </c>
    </row>
    <row r="11460" spans="35:37">
      <c r="AI11460" s="468">
        <v>53832</v>
      </c>
      <c r="AJ11460" s="5" t="s">
        <v>3579</v>
      </c>
      <c r="AK11460" s="5" t="s">
        <v>3623</v>
      </c>
    </row>
    <row r="11461" spans="35:37">
      <c r="AI11461" s="468">
        <v>53833</v>
      </c>
      <c r="AJ11461" s="5" t="s">
        <v>3624</v>
      </c>
      <c r="AK11461" s="5" t="s">
        <v>3625</v>
      </c>
    </row>
    <row r="11462" spans="35:37">
      <c r="AI11462" s="468">
        <v>53834</v>
      </c>
      <c r="AJ11462" s="5" t="s">
        <v>3626</v>
      </c>
      <c r="AK11462" s="5" t="s">
        <v>3627</v>
      </c>
    </row>
    <row r="11463" spans="35:37">
      <c r="AI11463" s="468">
        <v>53835</v>
      </c>
      <c r="AJ11463" s="5" t="s">
        <v>3628</v>
      </c>
      <c r="AK11463" s="5" t="s">
        <v>3618</v>
      </c>
    </row>
    <row r="11464" spans="35:37">
      <c r="AI11464" s="468">
        <v>53836</v>
      </c>
      <c r="AJ11464" s="5" t="s">
        <v>3617</v>
      </c>
      <c r="AK11464" s="5" t="s">
        <v>3620</v>
      </c>
    </row>
    <row r="11465" spans="35:37">
      <c r="AI11465" s="468">
        <v>53837</v>
      </c>
      <c r="AJ11465" s="5" t="s">
        <v>3619</v>
      </c>
      <c r="AK11465" s="5" t="s">
        <v>3623</v>
      </c>
    </row>
    <row r="11466" spans="35:37">
      <c r="AI11466" s="468">
        <v>53838</v>
      </c>
      <c r="AJ11466" s="5" t="s">
        <v>3621</v>
      </c>
      <c r="AK11466" s="5" t="s">
        <v>3625</v>
      </c>
    </row>
    <row r="11467" spans="35:37">
      <c r="AI11467" s="468">
        <v>53839</v>
      </c>
      <c r="AJ11467" s="5" t="s">
        <v>3579</v>
      </c>
      <c r="AK11467" s="5" t="s">
        <v>3627</v>
      </c>
    </row>
    <row r="11468" spans="35:37">
      <c r="AI11468" s="468">
        <v>53840</v>
      </c>
      <c r="AJ11468" s="5" t="s">
        <v>3624</v>
      </c>
      <c r="AK11468" s="5" t="s">
        <v>3618</v>
      </c>
    </row>
    <row r="11469" spans="35:37">
      <c r="AI11469" s="468">
        <v>53841</v>
      </c>
      <c r="AJ11469" s="5" t="s">
        <v>3626</v>
      </c>
      <c r="AK11469" s="5" t="s">
        <v>3620</v>
      </c>
    </row>
    <row r="11470" spans="35:37">
      <c r="AI11470" s="468">
        <v>53842</v>
      </c>
      <c r="AJ11470" s="5" t="s">
        <v>3628</v>
      </c>
      <c r="AK11470" s="5" t="s">
        <v>3622</v>
      </c>
    </row>
    <row r="11471" spans="35:37">
      <c r="AI11471" s="468">
        <v>53843</v>
      </c>
      <c r="AJ11471" s="5" t="s">
        <v>3617</v>
      </c>
      <c r="AK11471" s="5" t="s">
        <v>3623</v>
      </c>
    </row>
    <row r="11472" spans="35:37">
      <c r="AI11472" s="468">
        <v>53844</v>
      </c>
      <c r="AJ11472" s="5" t="s">
        <v>3619</v>
      </c>
      <c r="AK11472" s="5" t="s">
        <v>3625</v>
      </c>
    </row>
    <row r="11473" spans="35:37">
      <c r="AI11473" s="468">
        <v>53845</v>
      </c>
      <c r="AJ11473" s="5" t="s">
        <v>3621</v>
      </c>
      <c r="AK11473" s="5" t="s">
        <v>3627</v>
      </c>
    </row>
    <row r="11474" spans="35:37">
      <c r="AI11474" s="468">
        <v>53846</v>
      </c>
      <c r="AJ11474" s="5" t="s">
        <v>3579</v>
      </c>
      <c r="AK11474" s="5" t="s">
        <v>3618</v>
      </c>
    </row>
    <row r="11475" spans="35:37">
      <c r="AI11475" s="468">
        <v>53847</v>
      </c>
      <c r="AJ11475" s="5" t="s">
        <v>3624</v>
      </c>
      <c r="AK11475" s="5" t="s">
        <v>3620</v>
      </c>
    </row>
    <row r="11476" spans="35:37">
      <c r="AI11476" s="468">
        <v>53848</v>
      </c>
      <c r="AJ11476" s="5" t="s">
        <v>3626</v>
      </c>
      <c r="AK11476" s="5" t="s">
        <v>3622</v>
      </c>
    </row>
    <row r="11477" spans="35:37">
      <c r="AI11477" s="468">
        <v>53849</v>
      </c>
      <c r="AJ11477" s="5" t="s">
        <v>3628</v>
      </c>
      <c r="AK11477" s="5" t="s">
        <v>3623</v>
      </c>
    </row>
    <row r="11478" spans="35:37">
      <c r="AI11478" s="468">
        <v>53850</v>
      </c>
      <c r="AJ11478" s="5" t="s">
        <v>3617</v>
      </c>
      <c r="AK11478" s="5" t="s">
        <v>3625</v>
      </c>
    </row>
    <row r="11479" spans="35:37">
      <c r="AI11479" s="468">
        <v>53851</v>
      </c>
      <c r="AJ11479" s="5" t="s">
        <v>3619</v>
      </c>
      <c r="AK11479" s="5" t="s">
        <v>3627</v>
      </c>
    </row>
    <row r="11480" spans="35:37">
      <c r="AI11480" s="468">
        <v>53852</v>
      </c>
      <c r="AJ11480" s="5" t="s">
        <v>3621</v>
      </c>
      <c r="AK11480" s="5" t="s">
        <v>3618</v>
      </c>
    </row>
    <row r="11481" spans="35:37">
      <c r="AI11481" s="468">
        <v>53853</v>
      </c>
      <c r="AJ11481" s="5" t="s">
        <v>3579</v>
      </c>
      <c r="AK11481" s="5" t="s">
        <v>3620</v>
      </c>
    </row>
    <row r="11482" spans="35:37">
      <c r="AI11482" s="468">
        <v>53854</v>
      </c>
      <c r="AJ11482" s="5" t="s">
        <v>3624</v>
      </c>
      <c r="AK11482" s="5" t="s">
        <v>3622</v>
      </c>
    </row>
    <row r="11483" spans="35:37">
      <c r="AI11483" s="468">
        <v>53855</v>
      </c>
      <c r="AJ11483" s="5" t="s">
        <v>3626</v>
      </c>
      <c r="AK11483" s="5" t="s">
        <v>3623</v>
      </c>
    </row>
    <row r="11484" spans="35:37">
      <c r="AI11484" s="468">
        <v>53856</v>
      </c>
      <c r="AJ11484" s="5" t="s">
        <v>3628</v>
      </c>
      <c r="AK11484" s="5" t="s">
        <v>3625</v>
      </c>
    </row>
    <row r="11485" spans="35:37">
      <c r="AI11485" s="468">
        <v>53857</v>
      </c>
      <c r="AJ11485" s="5" t="s">
        <v>3617</v>
      </c>
      <c r="AK11485" s="5" t="s">
        <v>3627</v>
      </c>
    </row>
    <row r="11486" spans="35:37">
      <c r="AI11486" s="468">
        <v>53858</v>
      </c>
      <c r="AJ11486" s="5" t="s">
        <v>3619</v>
      </c>
      <c r="AK11486" s="5" t="s">
        <v>3618</v>
      </c>
    </row>
    <row r="11487" spans="35:37">
      <c r="AI11487" s="468">
        <v>53859</v>
      </c>
      <c r="AJ11487" s="5" t="s">
        <v>3621</v>
      </c>
      <c r="AK11487" s="5" t="s">
        <v>3620</v>
      </c>
    </row>
    <row r="11488" spans="35:37">
      <c r="AI11488" s="468">
        <v>53860</v>
      </c>
      <c r="AJ11488" s="5" t="s">
        <v>3579</v>
      </c>
      <c r="AK11488" s="5" t="s">
        <v>3622</v>
      </c>
    </row>
    <row r="11489" spans="35:37">
      <c r="AI11489" s="468">
        <v>53861</v>
      </c>
      <c r="AJ11489" s="5" t="s">
        <v>3624</v>
      </c>
      <c r="AK11489" s="5" t="s">
        <v>3623</v>
      </c>
    </row>
    <row r="11490" spans="35:37">
      <c r="AI11490" s="468">
        <v>53862</v>
      </c>
      <c r="AJ11490" s="5" t="s">
        <v>3626</v>
      </c>
      <c r="AK11490" s="5" t="s">
        <v>3625</v>
      </c>
    </row>
    <row r="11491" spans="35:37">
      <c r="AI11491" s="468">
        <v>53863</v>
      </c>
      <c r="AJ11491" s="5" t="s">
        <v>3628</v>
      </c>
      <c r="AK11491" s="5" t="s">
        <v>3627</v>
      </c>
    </row>
    <row r="11492" spans="35:37">
      <c r="AI11492" s="468">
        <v>53864</v>
      </c>
      <c r="AJ11492" s="5" t="s">
        <v>3617</v>
      </c>
      <c r="AK11492" s="5" t="s">
        <v>3618</v>
      </c>
    </row>
    <row r="11493" spans="35:37">
      <c r="AI11493" s="468">
        <v>53865</v>
      </c>
      <c r="AJ11493" s="5" t="s">
        <v>3619</v>
      </c>
      <c r="AK11493" s="5" t="s">
        <v>3620</v>
      </c>
    </row>
    <row r="11494" spans="35:37">
      <c r="AI11494" s="468">
        <v>53866</v>
      </c>
      <c r="AJ11494" s="5" t="s">
        <v>3621</v>
      </c>
      <c r="AK11494" s="5" t="s">
        <v>3623</v>
      </c>
    </row>
    <row r="11495" spans="35:37">
      <c r="AI11495" s="468">
        <v>53867</v>
      </c>
      <c r="AJ11495" s="5" t="s">
        <v>3579</v>
      </c>
      <c r="AK11495" s="5" t="s">
        <v>3625</v>
      </c>
    </row>
    <row r="11496" spans="35:37">
      <c r="AI11496" s="468">
        <v>53868</v>
      </c>
      <c r="AJ11496" s="5" t="s">
        <v>3624</v>
      </c>
      <c r="AK11496" s="5" t="s">
        <v>3627</v>
      </c>
    </row>
    <row r="11497" spans="35:37">
      <c r="AI11497" s="468">
        <v>53869</v>
      </c>
      <c r="AJ11497" s="5" t="s">
        <v>3626</v>
      </c>
      <c r="AK11497" s="5" t="s">
        <v>3618</v>
      </c>
    </row>
    <row r="11498" spans="35:37">
      <c r="AI11498" s="468">
        <v>53870</v>
      </c>
      <c r="AJ11498" s="5" t="s">
        <v>3628</v>
      </c>
      <c r="AK11498" s="5" t="s">
        <v>3620</v>
      </c>
    </row>
    <row r="11499" spans="35:37">
      <c r="AI11499" s="468">
        <v>53871</v>
      </c>
      <c r="AJ11499" s="5" t="s">
        <v>3617</v>
      </c>
      <c r="AK11499" s="5" t="s">
        <v>3622</v>
      </c>
    </row>
    <row r="11500" spans="35:37">
      <c r="AI11500" s="468">
        <v>53872</v>
      </c>
      <c r="AJ11500" s="5" t="s">
        <v>3619</v>
      </c>
      <c r="AK11500" s="5" t="s">
        <v>3623</v>
      </c>
    </row>
    <row r="11501" spans="35:37">
      <c r="AI11501" s="468">
        <v>53873</v>
      </c>
      <c r="AJ11501" s="5" t="s">
        <v>3621</v>
      </c>
      <c r="AK11501" s="5" t="s">
        <v>3625</v>
      </c>
    </row>
    <row r="11502" spans="35:37">
      <c r="AI11502" s="468">
        <v>53874</v>
      </c>
      <c r="AJ11502" s="5" t="s">
        <v>3579</v>
      </c>
      <c r="AK11502" s="5" t="s">
        <v>3627</v>
      </c>
    </row>
    <row r="11503" spans="35:37">
      <c r="AI11503" s="468">
        <v>53875</v>
      </c>
      <c r="AJ11503" s="5" t="s">
        <v>3624</v>
      </c>
      <c r="AK11503" s="5" t="s">
        <v>3618</v>
      </c>
    </row>
    <row r="11504" spans="35:37">
      <c r="AI11504" s="468">
        <v>53876</v>
      </c>
      <c r="AJ11504" s="5" t="s">
        <v>3626</v>
      </c>
      <c r="AK11504" s="5" t="s">
        <v>3620</v>
      </c>
    </row>
    <row r="11505" spans="35:37">
      <c r="AI11505" s="468">
        <v>53877</v>
      </c>
      <c r="AJ11505" s="5" t="s">
        <v>3628</v>
      </c>
      <c r="AK11505" s="5" t="s">
        <v>3622</v>
      </c>
    </row>
    <row r="11506" spans="35:37">
      <c r="AI11506" s="468">
        <v>53878</v>
      </c>
      <c r="AJ11506" s="5" t="s">
        <v>3617</v>
      </c>
      <c r="AK11506" s="5" t="s">
        <v>3623</v>
      </c>
    </row>
    <row r="11507" spans="35:37">
      <c r="AI11507" s="468">
        <v>53879</v>
      </c>
      <c r="AJ11507" s="5" t="s">
        <v>3619</v>
      </c>
      <c r="AK11507" s="5" t="s">
        <v>3625</v>
      </c>
    </row>
    <row r="11508" spans="35:37">
      <c r="AI11508" s="468">
        <v>53880</v>
      </c>
      <c r="AJ11508" s="5" t="s">
        <v>3621</v>
      </c>
      <c r="AK11508" s="5" t="s">
        <v>3627</v>
      </c>
    </row>
    <row r="11509" spans="35:37">
      <c r="AI11509" s="468">
        <v>53881</v>
      </c>
      <c r="AJ11509" s="5" t="s">
        <v>3579</v>
      </c>
      <c r="AK11509" s="5" t="s">
        <v>3618</v>
      </c>
    </row>
    <row r="11510" spans="35:37">
      <c r="AI11510" s="468">
        <v>53882</v>
      </c>
      <c r="AJ11510" s="5" t="s">
        <v>3624</v>
      </c>
      <c r="AK11510" s="5" t="s">
        <v>3620</v>
      </c>
    </row>
    <row r="11511" spans="35:37">
      <c r="AI11511" s="468">
        <v>53883</v>
      </c>
      <c r="AJ11511" s="5" t="s">
        <v>3626</v>
      </c>
      <c r="AK11511" s="5" t="s">
        <v>3622</v>
      </c>
    </row>
    <row r="11512" spans="35:37">
      <c r="AI11512" s="468">
        <v>53884</v>
      </c>
      <c r="AJ11512" s="5" t="s">
        <v>3628</v>
      </c>
      <c r="AK11512" s="5" t="s">
        <v>3623</v>
      </c>
    </row>
    <row r="11513" spans="35:37">
      <c r="AI11513" s="468">
        <v>53885</v>
      </c>
      <c r="AJ11513" s="5" t="s">
        <v>3617</v>
      </c>
      <c r="AK11513" s="5" t="s">
        <v>3625</v>
      </c>
    </row>
    <row r="11514" spans="35:37">
      <c r="AI11514" s="468">
        <v>53886</v>
      </c>
      <c r="AJ11514" s="5" t="s">
        <v>3619</v>
      </c>
      <c r="AK11514" s="5" t="s">
        <v>3627</v>
      </c>
    </row>
    <row r="11515" spans="35:37">
      <c r="AI11515" s="468">
        <v>53887</v>
      </c>
      <c r="AJ11515" s="5" t="s">
        <v>3621</v>
      </c>
      <c r="AK11515" s="5" t="s">
        <v>3618</v>
      </c>
    </row>
    <row r="11516" spans="35:37">
      <c r="AI11516" s="468">
        <v>53888</v>
      </c>
      <c r="AJ11516" s="5" t="s">
        <v>3579</v>
      </c>
      <c r="AK11516" s="5" t="s">
        <v>3620</v>
      </c>
    </row>
    <row r="11517" spans="35:37">
      <c r="AI11517" s="468">
        <v>53889</v>
      </c>
      <c r="AJ11517" s="5" t="s">
        <v>3624</v>
      </c>
      <c r="AK11517" s="5" t="s">
        <v>3622</v>
      </c>
    </row>
    <row r="11518" spans="35:37">
      <c r="AI11518" s="468">
        <v>53890</v>
      </c>
      <c r="AJ11518" s="5" t="s">
        <v>3626</v>
      </c>
      <c r="AK11518" s="5" t="s">
        <v>3623</v>
      </c>
    </row>
    <row r="11519" spans="35:37">
      <c r="AI11519" s="468">
        <v>53891</v>
      </c>
      <c r="AJ11519" s="5" t="s">
        <v>3628</v>
      </c>
      <c r="AK11519" s="5" t="s">
        <v>3625</v>
      </c>
    </row>
    <row r="11520" spans="35:37">
      <c r="AI11520" s="468">
        <v>53892</v>
      </c>
      <c r="AJ11520" s="5" t="s">
        <v>3617</v>
      </c>
      <c r="AK11520" s="5" t="s">
        <v>3627</v>
      </c>
    </row>
    <row r="11521" spans="35:37">
      <c r="AI11521" s="468">
        <v>53893</v>
      </c>
      <c r="AJ11521" s="5" t="s">
        <v>3619</v>
      </c>
      <c r="AK11521" s="5" t="s">
        <v>3618</v>
      </c>
    </row>
    <row r="11522" spans="35:37">
      <c r="AI11522" s="468">
        <v>53894</v>
      </c>
      <c r="AJ11522" s="5" t="s">
        <v>3621</v>
      </c>
      <c r="AK11522" s="5" t="s">
        <v>3620</v>
      </c>
    </row>
    <row r="11523" spans="35:37">
      <c r="AI11523" s="468">
        <v>53895</v>
      </c>
      <c r="AJ11523" s="5" t="s">
        <v>3579</v>
      </c>
      <c r="AK11523" s="5" t="s">
        <v>3622</v>
      </c>
    </row>
    <row r="11524" spans="35:37">
      <c r="AI11524" s="468">
        <v>53896</v>
      </c>
      <c r="AJ11524" s="5" t="s">
        <v>3624</v>
      </c>
      <c r="AK11524" s="5" t="s">
        <v>3625</v>
      </c>
    </row>
    <row r="11525" spans="35:37">
      <c r="AI11525" s="468">
        <v>53897</v>
      </c>
      <c r="AJ11525" s="5" t="s">
        <v>3626</v>
      </c>
      <c r="AK11525" s="5" t="s">
        <v>3627</v>
      </c>
    </row>
    <row r="11526" spans="35:37">
      <c r="AI11526" s="468">
        <v>53898</v>
      </c>
      <c r="AJ11526" s="5" t="s">
        <v>3628</v>
      </c>
      <c r="AK11526" s="5" t="s">
        <v>3618</v>
      </c>
    </row>
    <row r="11527" spans="35:37">
      <c r="AI11527" s="468">
        <v>53899</v>
      </c>
      <c r="AJ11527" s="5" t="s">
        <v>3617</v>
      </c>
      <c r="AK11527" s="5" t="s">
        <v>3620</v>
      </c>
    </row>
    <row r="11528" spans="35:37">
      <c r="AI11528" s="468">
        <v>53900</v>
      </c>
      <c r="AJ11528" s="5" t="s">
        <v>3619</v>
      </c>
      <c r="AK11528" s="5" t="s">
        <v>3622</v>
      </c>
    </row>
    <row r="11529" spans="35:37">
      <c r="AI11529" s="468">
        <v>53901</v>
      </c>
      <c r="AJ11529" s="5" t="s">
        <v>3621</v>
      </c>
      <c r="AK11529" s="5" t="s">
        <v>3623</v>
      </c>
    </row>
    <row r="11530" spans="35:37">
      <c r="AI11530" s="468">
        <v>53902</v>
      </c>
      <c r="AJ11530" s="5" t="s">
        <v>3579</v>
      </c>
      <c r="AK11530" s="5" t="s">
        <v>3625</v>
      </c>
    </row>
    <row r="11531" spans="35:37">
      <c r="AI11531" s="468">
        <v>53903</v>
      </c>
      <c r="AJ11531" s="5" t="s">
        <v>3624</v>
      </c>
      <c r="AK11531" s="5" t="s">
        <v>3627</v>
      </c>
    </row>
    <row r="11532" spans="35:37">
      <c r="AI11532" s="468">
        <v>53904</v>
      </c>
      <c r="AJ11532" s="5" t="s">
        <v>3626</v>
      </c>
      <c r="AK11532" s="5" t="s">
        <v>3618</v>
      </c>
    </row>
    <row r="11533" spans="35:37">
      <c r="AI11533" s="468">
        <v>53905</v>
      </c>
      <c r="AJ11533" s="5" t="s">
        <v>3628</v>
      </c>
      <c r="AK11533" s="5" t="s">
        <v>3620</v>
      </c>
    </row>
    <row r="11534" spans="35:37">
      <c r="AI11534" s="468">
        <v>53906</v>
      </c>
      <c r="AJ11534" s="5" t="s">
        <v>3617</v>
      </c>
      <c r="AK11534" s="5" t="s">
        <v>3622</v>
      </c>
    </row>
    <row r="11535" spans="35:37">
      <c r="AI11535" s="468">
        <v>53907</v>
      </c>
      <c r="AJ11535" s="5" t="s">
        <v>3619</v>
      </c>
      <c r="AK11535" s="5" t="s">
        <v>3623</v>
      </c>
    </row>
    <row r="11536" spans="35:37">
      <c r="AI11536" s="468">
        <v>53908</v>
      </c>
      <c r="AJ11536" s="5" t="s">
        <v>3621</v>
      </c>
      <c r="AK11536" s="5" t="s">
        <v>3625</v>
      </c>
    </row>
    <row r="11537" spans="35:37">
      <c r="AI11537" s="468">
        <v>53909</v>
      </c>
      <c r="AJ11537" s="5" t="s">
        <v>3579</v>
      </c>
      <c r="AK11537" s="5" t="s">
        <v>3627</v>
      </c>
    </row>
    <row r="11538" spans="35:37">
      <c r="AI11538" s="468">
        <v>53910</v>
      </c>
      <c r="AJ11538" s="5" t="s">
        <v>3624</v>
      </c>
      <c r="AK11538" s="5" t="s">
        <v>3618</v>
      </c>
    </row>
    <row r="11539" spans="35:37">
      <c r="AI11539" s="468">
        <v>53911</v>
      </c>
      <c r="AJ11539" s="5" t="s">
        <v>3626</v>
      </c>
      <c r="AK11539" s="5" t="s">
        <v>3620</v>
      </c>
    </row>
    <row r="11540" spans="35:37">
      <c r="AI11540" s="468">
        <v>53912</v>
      </c>
      <c r="AJ11540" s="5" t="s">
        <v>3628</v>
      </c>
      <c r="AK11540" s="5" t="s">
        <v>3622</v>
      </c>
    </row>
    <row r="11541" spans="35:37">
      <c r="AI11541" s="468">
        <v>53913</v>
      </c>
      <c r="AJ11541" s="5" t="s">
        <v>3617</v>
      </c>
      <c r="AK11541" s="5" t="s">
        <v>3623</v>
      </c>
    </row>
    <row r="11542" spans="35:37">
      <c r="AI11542" s="468">
        <v>53914</v>
      </c>
      <c r="AJ11542" s="5" t="s">
        <v>3619</v>
      </c>
      <c r="AK11542" s="5" t="s">
        <v>3625</v>
      </c>
    </row>
    <row r="11543" spans="35:37">
      <c r="AI11543" s="468">
        <v>53915</v>
      </c>
      <c r="AJ11543" s="5" t="s">
        <v>3621</v>
      </c>
      <c r="AK11543" s="5" t="s">
        <v>3627</v>
      </c>
    </row>
    <row r="11544" spans="35:37">
      <c r="AI11544" s="468">
        <v>53916</v>
      </c>
      <c r="AJ11544" s="5" t="s">
        <v>3579</v>
      </c>
      <c r="AK11544" s="5" t="s">
        <v>3618</v>
      </c>
    </row>
    <row r="11545" spans="35:37">
      <c r="AI11545" s="468">
        <v>53917</v>
      </c>
      <c r="AJ11545" s="5" t="s">
        <v>3624</v>
      </c>
      <c r="AK11545" s="5" t="s">
        <v>3620</v>
      </c>
    </row>
    <row r="11546" spans="35:37">
      <c r="AI11546" s="468">
        <v>53918</v>
      </c>
      <c r="AJ11546" s="5" t="s">
        <v>3626</v>
      </c>
      <c r="AK11546" s="5" t="s">
        <v>3622</v>
      </c>
    </row>
    <row r="11547" spans="35:37">
      <c r="AI11547" s="468">
        <v>53919</v>
      </c>
      <c r="AJ11547" s="5" t="s">
        <v>3628</v>
      </c>
      <c r="AK11547" s="5" t="s">
        <v>3623</v>
      </c>
    </row>
    <row r="11548" spans="35:37">
      <c r="AI11548" s="468">
        <v>53920</v>
      </c>
      <c r="AJ11548" s="5" t="s">
        <v>3617</v>
      </c>
      <c r="AK11548" s="5" t="s">
        <v>3625</v>
      </c>
    </row>
    <row r="11549" spans="35:37">
      <c r="AI11549" s="468">
        <v>53921</v>
      </c>
      <c r="AJ11549" s="5" t="s">
        <v>3619</v>
      </c>
      <c r="AK11549" s="5" t="s">
        <v>3627</v>
      </c>
    </row>
    <row r="11550" spans="35:37">
      <c r="AI11550" s="468">
        <v>53922</v>
      </c>
      <c r="AJ11550" s="5" t="s">
        <v>3621</v>
      </c>
      <c r="AK11550" s="5" t="s">
        <v>3618</v>
      </c>
    </row>
    <row r="11551" spans="35:37">
      <c r="AI11551" s="468">
        <v>53923</v>
      </c>
      <c r="AJ11551" s="5" t="s">
        <v>3579</v>
      </c>
      <c r="AK11551" s="5" t="s">
        <v>3620</v>
      </c>
    </row>
    <row r="11552" spans="35:37">
      <c r="AI11552" s="468">
        <v>53924</v>
      </c>
      <c r="AJ11552" s="5" t="s">
        <v>3624</v>
      </c>
      <c r="AK11552" s="5" t="s">
        <v>3622</v>
      </c>
    </row>
    <row r="11553" spans="35:37">
      <c r="AI11553" s="468">
        <v>53925</v>
      </c>
      <c r="AJ11553" s="5" t="s">
        <v>3626</v>
      </c>
      <c r="AK11553" s="5" t="s">
        <v>3627</v>
      </c>
    </row>
    <row r="11554" spans="35:37">
      <c r="AI11554" s="468">
        <v>53926</v>
      </c>
      <c r="AJ11554" s="5" t="s">
        <v>3628</v>
      </c>
      <c r="AK11554" s="5" t="s">
        <v>3618</v>
      </c>
    </row>
    <row r="11555" spans="35:37">
      <c r="AI11555" s="468">
        <v>53927</v>
      </c>
      <c r="AJ11555" s="5" t="s">
        <v>3617</v>
      </c>
      <c r="AK11555" s="5" t="s">
        <v>3620</v>
      </c>
    </row>
    <row r="11556" spans="35:37">
      <c r="AI11556" s="468">
        <v>53928</v>
      </c>
      <c r="AJ11556" s="5" t="s">
        <v>3619</v>
      </c>
      <c r="AK11556" s="5" t="s">
        <v>3622</v>
      </c>
    </row>
    <row r="11557" spans="35:37">
      <c r="AI11557" s="468">
        <v>53929</v>
      </c>
      <c r="AJ11557" s="5" t="s">
        <v>3621</v>
      </c>
      <c r="AK11557" s="5" t="s">
        <v>3623</v>
      </c>
    </row>
    <row r="11558" spans="35:37">
      <c r="AI11558" s="468">
        <v>53930</v>
      </c>
      <c r="AJ11558" s="5" t="s">
        <v>3579</v>
      </c>
      <c r="AK11558" s="5" t="s">
        <v>3625</v>
      </c>
    </row>
    <row r="11559" spans="35:37">
      <c r="AI11559" s="468">
        <v>53931</v>
      </c>
      <c r="AJ11559" s="5" t="s">
        <v>3624</v>
      </c>
      <c r="AK11559" s="5" t="s">
        <v>3627</v>
      </c>
    </row>
    <row r="11560" spans="35:37">
      <c r="AI11560" s="468">
        <v>53932</v>
      </c>
      <c r="AJ11560" s="5" t="s">
        <v>3626</v>
      </c>
      <c r="AK11560" s="5" t="s">
        <v>3618</v>
      </c>
    </row>
    <row r="11561" spans="35:37">
      <c r="AI11561" s="468">
        <v>53933</v>
      </c>
      <c r="AJ11561" s="5" t="s">
        <v>3628</v>
      </c>
      <c r="AK11561" s="5" t="s">
        <v>3620</v>
      </c>
    </row>
    <row r="11562" spans="35:37">
      <c r="AI11562" s="468">
        <v>53934</v>
      </c>
      <c r="AJ11562" s="5" t="s">
        <v>3617</v>
      </c>
      <c r="AK11562" s="5" t="s">
        <v>3622</v>
      </c>
    </row>
    <row r="11563" spans="35:37">
      <c r="AI11563" s="468">
        <v>53935</v>
      </c>
      <c r="AJ11563" s="5" t="s">
        <v>3619</v>
      </c>
      <c r="AK11563" s="5" t="s">
        <v>3623</v>
      </c>
    </row>
    <row r="11564" spans="35:37">
      <c r="AI11564" s="468">
        <v>53936</v>
      </c>
      <c r="AJ11564" s="5" t="s">
        <v>3621</v>
      </c>
      <c r="AK11564" s="5" t="s">
        <v>3625</v>
      </c>
    </row>
    <row r="11565" spans="35:37">
      <c r="AI11565" s="468">
        <v>53937</v>
      </c>
      <c r="AJ11565" s="5" t="s">
        <v>3579</v>
      </c>
      <c r="AK11565" s="5" t="s">
        <v>3627</v>
      </c>
    </row>
    <row r="11566" spans="35:37">
      <c r="AI11566" s="468">
        <v>53938</v>
      </c>
      <c r="AJ11566" s="5" t="s">
        <v>3624</v>
      </c>
      <c r="AK11566" s="5" t="s">
        <v>3618</v>
      </c>
    </row>
    <row r="11567" spans="35:37">
      <c r="AI11567" s="468">
        <v>53939</v>
      </c>
      <c r="AJ11567" s="5" t="s">
        <v>3626</v>
      </c>
      <c r="AK11567" s="5" t="s">
        <v>3620</v>
      </c>
    </row>
    <row r="11568" spans="35:37">
      <c r="AI11568" s="468">
        <v>53940</v>
      </c>
      <c r="AJ11568" s="5" t="s">
        <v>3628</v>
      </c>
      <c r="AK11568" s="5" t="s">
        <v>3622</v>
      </c>
    </row>
    <row r="11569" spans="35:37">
      <c r="AI11569" s="468">
        <v>53941</v>
      </c>
      <c r="AJ11569" s="5" t="s">
        <v>3617</v>
      </c>
      <c r="AK11569" s="5" t="s">
        <v>3623</v>
      </c>
    </row>
    <row r="11570" spans="35:37">
      <c r="AI11570" s="468">
        <v>53942</v>
      </c>
      <c r="AJ11570" s="5" t="s">
        <v>3619</v>
      </c>
      <c r="AK11570" s="5" t="s">
        <v>3625</v>
      </c>
    </row>
    <row r="11571" spans="35:37">
      <c r="AI11571" s="468">
        <v>53943</v>
      </c>
      <c r="AJ11571" s="5" t="s">
        <v>3621</v>
      </c>
      <c r="AK11571" s="5" t="s">
        <v>3627</v>
      </c>
    </row>
    <row r="11572" spans="35:37">
      <c r="AI11572" s="468">
        <v>53944</v>
      </c>
      <c r="AJ11572" s="5" t="s">
        <v>3579</v>
      </c>
      <c r="AK11572" s="5" t="s">
        <v>3618</v>
      </c>
    </row>
    <row r="11573" spans="35:37">
      <c r="AI11573" s="468">
        <v>53945</v>
      </c>
      <c r="AJ11573" s="5" t="s">
        <v>3624</v>
      </c>
      <c r="AK11573" s="5" t="s">
        <v>3620</v>
      </c>
    </row>
    <row r="11574" spans="35:37">
      <c r="AI11574" s="468">
        <v>53946</v>
      </c>
      <c r="AJ11574" s="5" t="s">
        <v>3626</v>
      </c>
      <c r="AK11574" s="5" t="s">
        <v>3622</v>
      </c>
    </row>
    <row r="11575" spans="35:37">
      <c r="AI11575" s="468">
        <v>53947</v>
      </c>
      <c r="AJ11575" s="5" t="s">
        <v>3628</v>
      </c>
      <c r="AK11575" s="5" t="s">
        <v>3623</v>
      </c>
    </row>
    <row r="11576" spans="35:37">
      <c r="AI11576" s="468">
        <v>53948</v>
      </c>
      <c r="AJ11576" s="5" t="s">
        <v>3617</v>
      </c>
      <c r="AK11576" s="5" t="s">
        <v>3625</v>
      </c>
    </row>
    <row r="11577" spans="35:37">
      <c r="AI11577" s="468">
        <v>53949</v>
      </c>
      <c r="AJ11577" s="5" t="s">
        <v>3619</v>
      </c>
      <c r="AK11577" s="5" t="s">
        <v>3627</v>
      </c>
    </row>
    <row r="11578" spans="35:37">
      <c r="AI11578" s="468">
        <v>53950</v>
      </c>
      <c r="AJ11578" s="5" t="s">
        <v>3621</v>
      </c>
      <c r="AK11578" s="5" t="s">
        <v>3618</v>
      </c>
    </row>
    <row r="11579" spans="35:37">
      <c r="AI11579" s="468">
        <v>53951</v>
      </c>
      <c r="AJ11579" s="5" t="s">
        <v>3579</v>
      </c>
      <c r="AK11579" s="5" t="s">
        <v>3620</v>
      </c>
    </row>
    <row r="11580" spans="35:37">
      <c r="AI11580" s="468">
        <v>53952</v>
      </c>
      <c r="AJ11580" s="5" t="s">
        <v>3624</v>
      </c>
      <c r="AK11580" s="5" t="s">
        <v>3622</v>
      </c>
    </row>
    <row r="11581" spans="35:37">
      <c r="AI11581" s="468">
        <v>53953</v>
      </c>
      <c r="AJ11581" s="5" t="s">
        <v>3626</v>
      </c>
      <c r="AK11581" s="5" t="s">
        <v>3623</v>
      </c>
    </row>
    <row r="11582" spans="35:37">
      <c r="AI11582" s="468">
        <v>53954</v>
      </c>
      <c r="AJ11582" s="5" t="s">
        <v>3628</v>
      </c>
      <c r="AK11582" s="5" t="s">
        <v>3625</v>
      </c>
    </row>
    <row r="11583" spans="35:37">
      <c r="AI11583" s="468">
        <v>53955</v>
      </c>
      <c r="AJ11583" s="5" t="s">
        <v>3617</v>
      </c>
      <c r="AK11583" s="5" t="s">
        <v>3618</v>
      </c>
    </row>
    <row r="11584" spans="35:37">
      <c r="AI11584" s="468">
        <v>53956</v>
      </c>
      <c r="AJ11584" s="5" t="s">
        <v>3619</v>
      </c>
      <c r="AK11584" s="5" t="s">
        <v>3620</v>
      </c>
    </row>
    <row r="11585" spans="35:37">
      <c r="AI11585" s="468">
        <v>53957</v>
      </c>
      <c r="AJ11585" s="5" t="s">
        <v>3621</v>
      </c>
      <c r="AK11585" s="5" t="s">
        <v>3622</v>
      </c>
    </row>
    <row r="11586" spans="35:37">
      <c r="AI11586" s="468">
        <v>53958</v>
      </c>
      <c r="AJ11586" s="5" t="s">
        <v>3579</v>
      </c>
      <c r="AK11586" s="5" t="s">
        <v>3623</v>
      </c>
    </row>
    <row r="11587" spans="35:37">
      <c r="AI11587" s="468">
        <v>53959</v>
      </c>
      <c r="AJ11587" s="5" t="s">
        <v>3624</v>
      </c>
      <c r="AK11587" s="5" t="s">
        <v>3625</v>
      </c>
    </row>
    <row r="11588" spans="35:37">
      <c r="AI11588" s="468">
        <v>53960</v>
      </c>
      <c r="AJ11588" s="5" t="s">
        <v>3626</v>
      </c>
      <c r="AK11588" s="5" t="s">
        <v>3627</v>
      </c>
    </row>
    <row r="11589" spans="35:37">
      <c r="AI11589" s="468">
        <v>53961</v>
      </c>
      <c r="AJ11589" s="5" t="s">
        <v>3628</v>
      </c>
      <c r="AK11589" s="5" t="s">
        <v>3618</v>
      </c>
    </row>
    <row r="11590" spans="35:37">
      <c r="AI11590" s="468">
        <v>53962</v>
      </c>
      <c r="AJ11590" s="5" t="s">
        <v>3617</v>
      </c>
      <c r="AK11590" s="5" t="s">
        <v>3620</v>
      </c>
    </row>
    <row r="11591" spans="35:37">
      <c r="AI11591" s="468">
        <v>53963</v>
      </c>
      <c r="AJ11591" s="5" t="s">
        <v>3619</v>
      </c>
      <c r="AK11591" s="5" t="s">
        <v>3622</v>
      </c>
    </row>
    <row r="11592" spans="35:37">
      <c r="AI11592" s="468">
        <v>53964</v>
      </c>
      <c r="AJ11592" s="5" t="s">
        <v>3621</v>
      </c>
      <c r="AK11592" s="5" t="s">
        <v>3623</v>
      </c>
    </row>
    <row r="11593" spans="35:37">
      <c r="AI11593" s="468">
        <v>53965</v>
      </c>
      <c r="AJ11593" s="5" t="s">
        <v>3579</v>
      </c>
      <c r="AK11593" s="5" t="s">
        <v>3625</v>
      </c>
    </row>
    <row r="11594" spans="35:37">
      <c r="AI11594" s="468">
        <v>53966</v>
      </c>
      <c r="AJ11594" s="5" t="s">
        <v>3624</v>
      </c>
      <c r="AK11594" s="5" t="s">
        <v>3627</v>
      </c>
    </row>
    <row r="11595" spans="35:37">
      <c r="AI11595" s="468">
        <v>53967</v>
      </c>
      <c r="AJ11595" s="5" t="s">
        <v>3626</v>
      </c>
      <c r="AK11595" s="5" t="s">
        <v>3618</v>
      </c>
    </row>
    <row r="11596" spans="35:37">
      <c r="AI11596" s="468">
        <v>53968</v>
      </c>
      <c r="AJ11596" s="5" t="s">
        <v>3628</v>
      </c>
      <c r="AK11596" s="5" t="s">
        <v>3620</v>
      </c>
    </row>
    <row r="11597" spans="35:37">
      <c r="AI11597" s="468">
        <v>53969</v>
      </c>
      <c r="AJ11597" s="5" t="s">
        <v>3617</v>
      </c>
      <c r="AK11597" s="5" t="s">
        <v>3622</v>
      </c>
    </row>
    <row r="11598" spans="35:37">
      <c r="AI11598" s="468">
        <v>53970</v>
      </c>
      <c r="AJ11598" s="5" t="s">
        <v>3619</v>
      </c>
      <c r="AK11598" s="5" t="s">
        <v>3623</v>
      </c>
    </row>
    <row r="11599" spans="35:37">
      <c r="AI11599" s="468">
        <v>53971</v>
      </c>
      <c r="AJ11599" s="5" t="s">
        <v>3621</v>
      </c>
      <c r="AK11599" s="5" t="s">
        <v>3625</v>
      </c>
    </row>
    <row r="11600" spans="35:37">
      <c r="AI11600" s="468">
        <v>53972</v>
      </c>
      <c r="AJ11600" s="5" t="s">
        <v>3579</v>
      </c>
      <c r="AK11600" s="5" t="s">
        <v>3627</v>
      </c>
    </row>
    <row r="11601" spans="35:37">
      <c r="AI11601" s="468">
        <v>53973</v>
      </c>
      <c r="AJ11601" s="5" t="s">
        <v>3624</v>
      </c>
      <c r="AK11601" s="5" t="s">
        <v>3618</v>
      </c>
    </row>
    <row r="11602" spans="35:37">
      <c r="AI11602" s="468">
        <v>53974</v>
      </c>
      <c r="AJ11602" s="5" t="s">
        <v>3626</v>
      </c>
      <c r="AK11602" s="5" t="s">
        <v>3620</v>
      </c>
    </row>
    <row r="11603" spans="35:37">
      <c r="AI11603" s="468">
        <v>53975</v>
      </c>
      <c r="AJ11603" s="5" t="s">
        <v>3628</v>
      </c>
      <c r="AK11603" s="5" t="s">
        <v>3622</v>
      </c>
    </row>
    <row r="11604" spans="35:37">
      <c r="AI11604" s="468">
        <v>53976</v>
      </c>
      <c r="AJ11604" s="5" t="s">
        <v>3617</v>
      </c>
      <c r="AK11604" s="5" t="s">
        <v>3623</v>
      </c>
    </row>
    <row r="11605" spans="35:37">
      <c r="AI11605" s="468">
        <v>53977</v>
      </c>
      <c r="AJ11605" s="5" t="s">
        <v>3619</v>
      </c>
      <c r="AK11605" s="5" t="s">
        <v>3625</v>
      </c>
    </row>
    <row r="11606" spans="35:37">
      <c r="AI11606" s="468">
        <v>53978</v>
      </c>
      <c r="AJ11606" s="5" t="s">
        <v>3621</v>
      </c>
      <c r="AK11606" s="5" t="s">
        <v>3627</v>
      </c>
    </row>
    <row r="11607" spans="35:37">
      <c r="AI11607" s="468">
        <v>53979</v>
      </c>
      <c r="AJ11607" s="5" t="s">
        <v>3579</v>
      </c>
      <c r="AK11607" s="5" t="s">
        <v>3618</v>
      </c>
    </row>
    <row r="11608" spans="35:37">
      <c r="AI11608" s="468">
        <v>53980</v>
      </c>
      <c r="AJ11608" s="5" t="s">
        <v>3624</v>
      </c>
      <c r="AK11608" s="5" t="s">
        <v>3620</v>
      </c>
    </row>
    <row r="11609" spans="35:37">
      <c r="AI11609" s="468">
        <v>53981</v>
      </c>
      <c r="AJ11609" s="5" t="s">
        <v>3626</v>
      </c>
      <c r="AK11609" s="5" t="s">
        <v>3622</v>
      </c>
    </row>
    <row r="11610" spans="35:37">
      <c r="AI11610" s="468">
        <v>53982</v>
      </c>
      <c r="AJ11610" s="5" t="s">
        <v>3628</v>
      </c>
      <c r="AK11610" s="5" t="s">
        <v>3623</v>
      </c>
    </row>
    <row r="11611" spans="35:37">
      <c r="AI11611" s="468">
        <v>53983</v>
      </c>
      <c r="AJ11611" s="5" t="s">
        <v>3617</v>
      </c>
      <c r="AK11611" s="5" t="s">
        <v>3625</v>
      </c>
    </row>
    <row r="11612" spans="35:37">
      <c r="AI11612" s="468">
        <v>53984</v>
      </c>
      <c r="AJ11612" s="5" t="s">
        <v>3619</v>
      </c>
      <c r="AK11612" s="5" t="s">
        <v>3620</v>
      </c>
    </row>
    <row r="11613" spans="35:37">
      <c r="AI11613" s="468">
        <v>53985</v>
      </c>
      <c r="AJ11613" s="5" t="s">
        <v>3621</v>
      </c>
      <c r="AK11613" s="5" t="s">
        <v>3622</v>
      </c>
    </row>
    <row r="11614" spans="35:37">
      <c r="AI11614" s="468">
        <v>53986</v>
      </c>
      <c r="AJ11614" s="5" t="s">
        <v>3579</v>
      </c>
      <c r="AK11614" s="5" t="s">
        <v>3623</v>
      </c>
    </row>
    <row r="11615" spans="35:37">
      <c r="AI11615" s="468">
        <v>53987</v>
      </c>
      <c r="AJ11615" s="5" t="s">
        <v>3624</v>
      </c>
      <c r="AK11615" s="5" t="s">
        <v>3625</v>
      </c>
    </row>
    <row r="11616" spans="35:37">
      <c r="AI11616" s="468">
        <v>53988</v>
      </c>
      <c r="AJ11616" s="5" t="s">
        <v>3626</v>
      </c>
      <c r="AK11616" s="5" t="s">
        <v>3627</v>
      </c>
    </row>
    <row r="11617" spans="35:37">
      <c r="AI11617" s="468">
        <v>53989</v>
      </c>
      <c r="AJ11617" s="5" t="s">
        <v>3628</v>
      </c>
      <c r="AK11617" s="5" t="s">
        <v>3618</v>
      </c>
    </row>
    <row r="11618" spans="35:37">
      <c r="AI11618" s="468">
        <v>53990</v>
      </c>
      <c r="AJ11618" s="5" t="s">
        <v>3617</v>
      </c>
      <c r="AK11618" s="5" t="s">
        <v>3620</v>
      </c>
    </row>
    <row r="11619" spans="35:37">
      <c r="AI11619" s="468">
        <v>53991</v>
      </c>
      <c r="AJ11619" s="5" t="s">
        <v>3619</v>
      </c>
      <c r="AK11619" s="5" t="s">
        <v>3622</v>
      </c>
    </row>
    <row r="11620" spans="35:37">
      <c r="AI11620" s="468">
        <v>53992</v>
      </c>
      <c r="AJ11620" s="5" t="s">
        <v>3621</v>
      </c>
      <c r="AK11620" s="5" t="s">
        <v>3623</v>
      </c>
    </row>
    <row r="11621" spans="35:37">
      <c r="AI11621" s="468">
        <v>53993</v>
      </c>
      <c r="AJ11621" s="5" t="s">
        <v>3579</v>
      </c>
      <c r="AK11621" s="5" t="s">
        <v>3625</v>
      </c>
    </row>
    <row r="11622" spans="35:37">
      <c r="AI11622" s="468">
        <v>53994</v>
      </c>
      <c r="AJ11622" s="5" t="s">
        <v>3624</v>
      </c>
      <c r="AK11622" s="5" t="s">
        <v>3627</v>
      </c>
    </row>
    <row r="11623" spans="35:37">
      <c r="AI11623" s="468">
        <v>53995</v>
      </c>
      <c r="AJ11623" s="5" t="s">
        <v>3626</v>
      </c>
      <c r="AK11623" s="5" t="s">
        <v>3618</v>
      </c>
    </row>
    <row r="11624" spans="35:37">
      <c r="AI11624" s="468">
        <v>53996</v>
      </c>
      <c r="AJ11624" s="5" t="s">
        <v>3628</v>
      </c>
      <c r="AK11624" s="5" t="s">
        <v>3620</v>
      </c>
    </row>
    <row r="11625" spans="35:37">
      <c r="AI11625" s="468">
        <v>53997</v>
      </c>
      <c r="AJ11625" s="5" t="s">
        <v>3617</v>
      </c>
      <c r="AK11625" s="5" t="s">
        <v>3622</v>
      </c>
    </row>
    <row r="11626" spans="35:37">
      <c r="AI11626" s="468">
        <v>53998</v>
      </c>
      <c r="AJ11626" s="5" t="s">
        <v>3619</v>
      </c>
      <c r="AK11626" s="5" t="s">
        <v>3623</v>
      </c>
    </row>
    <row r="11627" spans="35:37">
      <c r="AI11627" s="468">
        <v>53999</v>
      </c>
      <c r="AJ11627" s="5" t="s">
        <v>3621</v>
      </c>
      <c r="AK11627" s="5" t="s">
        <v>3625</v>
      </c>
    </row>
    <row r="11628" spans="35:37">
      <c r="AI11628" s="468">
        <v>54000</v>
      </c>
      <c r="AJ11628" s="5" t="s">
        <v>3579</v>
      </c>
      <c r="AK11628" s="5" t="s">
        <v>3627</v>
      </c>
    </row>
    <row r="11629" spans="35:37">
      <c r="AI11629" s="468">
        <v>54001</v>
      </c>
      <c r="AJ11629" s="5" t="s">
        <v>3624</v>
      </c>
      <c r="AK11629" s="5" t="s">
        <v>3618</v>
      </c>
    </row>
    <row r="11630" spans="35:37">
      <c r="AI11630" s="468">
        <v>54002</v>
      </c>
      <c r="AJ11630" s="5" t="s">
        <v>3626</v>
      </c>
      <c r="AK11630" s="5" t="s">
        <v>3620</v>
      </c>
    </row>
    <row r="11631" spans="35:37">
      <c r="AI11631" s="468">
        <v>54003</v>
      </c>
      <c r="AJ11631" s="5" t="s">
        <v>3628</v>
      </c>
      <c r="AK11631" s="5" t="s">
        <v>3622</v>
      </c>
    </row>
    <row r="11632" spans="35:37">
      <c r="AI11632" s="468">
        <v>54004</v>
      </c>
      <c r="AJ11632" s="5" t="s">
        <v>3617</v>
      </c>
      <c r="AK11632" s="5" t="s">
        <v>3623</v>
      </c>
    </row>
    <row r="11633" spans="35:37">
      <c r="AI11633" s="468">
        <v>54005</v>
      </c>
      <c r="AJ11633" s="5" t="s">
        <v>3619</v>
      </c>
      <c r="AK11633" s="5" t="s">
        <v>3625</v>
      </c>
    </row>
    <row r="11634" spans="35:37">
      <c r="AI11634" s="468">
        <v>54006</v>
      </c>
      <c r="AJ11634" s="5" t="s">
        <v>3621</v>
      </c>
      <c r="AK11634" s="5" t="s">
        <v>3627</v>
      </c>
    </row>
    <row r="11635" spans="35:37">
      <c r="AI11635" s="468">
        <v>54007</v>
      </c>
      <c r="AJ11635" s="5" t="s">
        <v>3579</v>
      </c>
      <c r="AK11635" s="5" t="s">
        <v>3618</v>
      </c>
    </row>
    <row r="11636" spans="35:37">
      <c r="AI11636" s="468">
        <v>54008</v>
      </c>
      <c r="AJ11636" s="5" t="s">
        <v>3624</v>
      </c>
      <c r="AK11636" s="5" t="s">
        <v>3620</v>
      </c>
    </row>
    <row r="11637" spans="35:37">
      <c r="AI11637" s="468">
        <v>54009</v>
      </c>
      <c r="AJ11637" s="5" t="s">
        <v>3626</v>
      </c>
      <c r="AK11637" s="5" t="s">
        <v>3622</v>
      </c>
    </row>
    <row r="11638" spans="35:37">
      <c r="AI11638" s="468">
        <v>54010</v>
      </c>
      <c r="AJ11638" s="5" t="s">
        <v>3628</v>
      </c>
      <c r="AK11638" s="5" t="s">
        <v>3623</v>
      </c>
    </row>
    <row r="11639" spans="35:37">
      <c r="AI11639" s="468">
        <v>54011</v>
      </c>
      <c r="AJ11639" s="5" t="s">
        <v>3617</v>
      </c>
      <c r="AK11639" s="5" t="s">
        <v>3625</v>
      </c>
    </row>
    <row r="11640" spans="35:37">
      <c r="AI11640" s="468">
        <v>54012</v>
      </c>
      <c r="AJ11640" s="5" t="s">
        <v>3619</v>
      </c>
      <c r="AK11640" s="5" t="s">
        <v>3627</v>
      </c>
    </row>
    <row r="11641" spans="35:37">
      <c r="AI11641" s="468">
        <v>54013</v>
      </c>
      <c r="AJ11641" s="5" t="s">
        <v>3621</v>
      </c>
      <c r="AK11641" s="5" t="s">
        <v>3622</v>
      </c>
    </row>
    <row r="11642" spans="35:37">
      <c r="AI11642" s="468">
        <v>54014</v>
      </c>
      <c r="AJ11642" s="5" t="s">
        <v>3579</v>
      </c>
      <c r="AK11642" s="5" t="s">
        <v>3623</v>
      </c>
    </row>
    <row r="11643" spans="35:37">
      <c r="AI11643" s="468">
        <v>54015</v>
      </c>
      <c r="AJ11643" s="5" t="s">
        <v>3624</v>
      </c>
      <c r="AK11643" s="5" t="s">
        <v>3625</v>
      </c>
    </row>
    <row r="11644" spans="35:37">
      <c r="AI11644" s="468">
        <v>54016</v>
      </c>
      <c r="AJ11644" s="5" t="s">
        <v>3626</v>
      </c>
      <c r="AK11644" s="5" t="s">
        <v>3627</v>
      </c>
    </row>
    <row r="11645" spans="35:37">
      <c r="AI11645" s="468">
        <v>54017</v>
      </c>
      <c r="AJ11645" s="5" t="s">
        <v>3628</v>
      </c>
      <c r="AK11645" s="5" t="s">
        <v>3618</v>
      </c>
    </row>
    <row r="11646" spans="35:37">
      <c r="AI11646" s="468">
        <v>54018</v>
      </c>
      <c r="AJ11646" s="5" t="s">
        <v>3617</v>
      </c>
      <c r="AK11646" s="5" t="s">
        <v>3620</v>
      </c>
    </row>
    <row r="11647" spans="35:37">
      <c r="AI11647" s="468">
        <v>54019</v>
      </c>
      <c r="AJ11647" s="5" t="s">
        <v>3619</v>
      </c>
      <c r="AK11647" s="5" t="s">
        <v>3622</v>
      </c>
    </row>
    <row r="11648" spans="35:37">
      <c r="AI11648" s="468">
        <v>54020</v>
      </c>
      <c r="AJ11648" s="5" t="s">
        <v>3621</v>
      </c>
      <c r="AK11648" s="5" t="s">
        <v>3623</v>
      </c>
    </row>
    <row r="11649" spans="35:37">
      <c r="AI11649" s="468">
        <v>54021</v>
      </c>
      <c r="AJ11649" s="5" t="s">
        <v>3579</v>
      </c>
      <c r="AK11649" s="5" t="s">
        <v>3625</v>
      </c>
    </row>
    <row r="11650" spans="35:37">
      <c r="AI11650" s="468">
        <v>54022</v>
      </c>
      <c r="AJ11650" s="5" t="s">
        <v>3624</v>
      </c>
      <c r="AK11650" s="5" t="s">
        <v>3627</v>
      </c>
    </row>
    <row r="11651" spans="35:37">
      <c r="AI11651" s="468">
        <v>54023</v>
      </c>
      <c r="AJ11651" s="5" t="s">
        <v>3626</v>
      </c>
      <c r="AK11651" s="5" t="s">
        <v>3618</v>
      </c>
    </row>
    <row r="11652" spans="35:37">
      <c r="AI11652" s="468">
        <v>54024</v>
      </c>
      <c r="AJ11652" s="5" t="s">
        <v>3628</v>
      </c>
      <c r="AK11652" s="5" t="s">
        <v>3620</v>
      </c>
    </row>
    <row r="11653" spans="35:37">
      <c r="AI11653" s="468">
        <v>54025</v>
      </c>
      <c r="AJ11653" s="5" t="s">
        <v>3617</v>
      </c>
      <c r="AK11653" s="5" t="s">
        <v>3622</v>
      </c>
    </row>
    <row r="11654" spans="35:37">
      <c r="AI11654" s="468">
        <v>54026</v>
      </c>
      <c r="AJ11654" s="5" t="s">
        <v>3619</v>
      </c>
      <c r="AK11654" s="5" t="s">
        <v>3623</v>
      </c>
    </row>
    <row r="11655" spans="35:37">
      <c r="AI11655" s="468">
        <v>54027</v>
      </c>
      <c r="AJ11655" s="5" t="s">
        <v>3621</v>
      </c>
      <c r="AK11655" s="5" t="s">
        <v>3625</v>
      </c>
    </row>
    <row r="11656" spans="35:37">
      <c r="AI11656" s="468">
        <v>54028</v>
      </c>
      <c r="AJ11656" s="5" t="s">
        <v>3579</v>
      </c>
      <c r="AK11656" s="5" t="s">
        <v>3627</v>
      </c>
    </row>
    <row r="11657" spans="35:37">
      <c r="AI11657" s="468">
        <v>54029</v>
      </c>
      <c r="AJ11657" s="5" t="s">
        <v>3624</v>
      </c>
      <c r="AK11657" s="5" t="s">
        <v>3618</v>
      </c>
    </row>
    <row r="11658" spans="35:37">
      <c r="AI11658" s="468">
        <v>54030</v>
      </c>
      <c r="AJ11658" s="5" t="s">
        <v>3626</v>
      </c>
      <c r="AK11658" s="5" t="s">
        <v>3620</v>
      </c>
    </row>
    <row r="11659" spans="35:37">
      <c r="AI11659" s="468">
        <v>54031</v>
      </c>
      <c r="AJ11659" s="5" t="s">
        <v>3628</v>
      </c>
      <c r="AK11659" s="5" t="s">
        <v>3622</v>
      </c>
    </row>
    <row r="11660" spans="35:37">
      <c r="AI11660" s="468">
        <v>54032</v>
      </c>
      <c r="AJ11660" s="5" t="s">
        <v>3617</v>
      </c>
      <c r="AK11660" s="5" t="s">
        <v>3623</v>
      </c>
    </row>
    <row r="11661" spans="35:37">
      <c r="AI11661" s="468">
        <v>54033</v>
      </c>
      <c r="AJ11661" s="5" t="s">
        <v>3619</v>
      </c>
      <c r="AK11661" s="5" t="s">
        <v>3625</v>
      </c>
    </row>
    <row r="11662" spans="35:37">
      <c r="AI11662" s="468">
        <v>54034</v>
      </c>
      <c r="AJ11662" s="5" t="s">
        <v>3621</v>
      </c>
      <c r="AK11662" s="5" t="s">
        <v>3627</v>
      </c>
    </row>
    <row r="11663" spans="35:37">
      <c r="AI11663" s="468">
        <v>54035</v>
      </c>
      <c r="AJ11663" s="5" t="s">
        <v>3579</v>
      </c>
      <c r="AK11663" s="5" t="s">
        <v>3618</v>
      </c>
    </row>
    <row r="11664" spans="35:37">
      <c r="AI11664" s="468">
        <v>54036</v>
      </c>
      <c r="AJ11664" s="5" t="s">
        <v>3624</v>
      </c>
      <c r="AK11664" s="5" t="s">
        <v>3620</v>
      </c>
    </row>
    <row r="11665" spans="35:37">
      <c r="AI11665" s="468">
        <v>54037</v>
      </c>
      <c r="AJ11665" s="5" t="s">
        <v>3626</v>
      </c>
      <c r="AK11665" s="5" t="s">
        <v>3622</v>
      </c>
    </row>
    <row r="11666" spans="35:37">
      <c r="AI11666" s="468">
        <v>54038</v>
      </c>
      <c r="AJ11666" s="5" t="s">
        <v>3628</v>
      </c>
      <c r="AK11666" s="5" t="s">
        <v>3623</v>
      </c>
    </row>
    <row r="11667" spans="35:37">
      <c r="AI11667" s="468">
        <v>54039</v>
      </c>
      <c r="AJ11667" s="5" t="s">
        <v>3617</v>
      </c>
      <c r="AK11667" s="5" t="s">
        <v>3625</v>
      </c>
    </row>
    <row r="11668" spans="35:37">
      <c r="AI11668" s="468">
        <v>54040</v>
      </c>
      <c r="AJ11668" s="5" t="s">
        <v>3619</v>
      </c>
      <c r="AK11668" s="5" t="s">
        <v>3627</v>
      </c>
    </row>
    <row r="11669" spans="35:37">
      <c r="AI11669" s="468">
        <v>54041</v>
      </c>
      <c r="AJ11669" s="5" t="s">
        <v>3621</v>
      </c>
      <c r="AK11669" s="5" t="s">
        <v>3618</v>
      </c>
    </row>
    <row r="11670" spans="35:37">
      <c r="AI11670" s="468">
        <v>54042</v>
      </c>
      <c r="AJ11670" s="5" t="s">
        <v>3579</v>
      </c>
      <c r="AK11670" s="5" t="s">
        <v>3620</v>
      </c>
    </row>
    <row r="11671" spans="35:37">
      <c r="AI11671" s="468">
        <v>54043</v>
      </c>
      <c r="AJ11671" s="5" t="s">
        <v>3624</v>
      </c>
      <c r="AK11671" s="5" t="s">
        <v>3623</v>
      </c>
    </row>
    <row r="11672" spans="35:37">
      <c r="AI11672" s="468">
        <v>54044</v>
      </c>
      <c r="AJ11672" s="5" t="s">
        <v>3626</v>
      </c>
      <c r="AK11672" s="5" t="s">
        <v>3625</v>
      </c>
    </row>
    <row r="11673" spans="35:37">
      <c r="AI11673" s="468">
        <v>54045</v>
      </c>
      <c r="AJ11673" s="5" t="s">
        <v>3628</v>
      </c>
      <c r="AK11673" s="5" t="s">
        <v>3627</v>
      </c>
    </row>
    <row r="11674" spans="35:37">
      <c r="AI11674" s="468">
        <v>54046</v>
      </c>
      <c r="AJ11674" s="5" t="s">
        <v>3617</v>
      </c>
      <c r="AK11674" s="5" t="s">
        <v>3618</v>
      </c>
    </row>
    <row r="11675" spans="35:37">
      <c r="AI11675" s="468">
        <v>54047</v>
      </c>
      <c r="AJ11675" s="5" t="s">
        <v>3619</v>
      </c>
      <c r="AK11675" s="5" t="s">
        <v>3620</v>
      </c>
    </row>
    <row r="11676" spans="35:37">
      <c r="AI11676" s="468">
        <v>54048</v>
      </c>
      <c r="AJ11676" s="5" t="s">
        <v>3621</v>
      </c>
      <c r="AK11676" s="5" t="s">
        <v>3622</v>
      </c>
    </row>
    <row r="11677" spans="35:37">
      <c r="AI11677" s="468">
        <v>54049</v>
      </c>
      <c r="AJ11677" s="5" t="s">
        <v>3579</v>
      </c>
      <c r="AK11677" s="5" t="s">
        <v>3623</v>
      </c>
    </row>
    <row r="11678" spans="35:37">
      <c r="AI11678" s="468">
        <v>54050</v>
      </c>
      <c r="AJ11678" s="5" t="s">
        <v>3624</v>
      </c>
      <c r="AK11678" s="5" t="s">
        <v>3625</v>
      </c>
    </row>
    <row r="11679" spans="35:37">
      <c r="AI11679" s="468">
        <v>54051</v>
      </c>
      <c r="AJ11679" s="5" t="s">
        <v>3626</v>
      </c>
      <c r="AK11679" s="5" t="s">
        <v>3627</v>
      </c>
    </row>
    <row r="11680" spans="35:37">
      <c r="AI11680" s="468">
        <v>54052</v>
      </c>
      <c r="AJ11680" s="5" t="s">
        <v>3628</v>
      </c>
      <c r="AK11680" s="5" t="s">
        <v>3618</v>
      </c>
    </row>
    <row r="11681" spans="35:37">
      <c r="AI11681" s="468">
        <v>54053</v>
      </c>
      <c r="AJ11681" s="5" t="s">
        <v>3617</v>
      </c>
      <c r="AK11681" s="5" t="s">
        <v>3620</v>
      </c>
    </row>
    <row r="11682" spans="35:37">
      <c r="AI11682" s="468">
        <v>54054</v>
      </c>
      <c r="AJ11682" s="5" t="s">
        <v>3619</v>
      </c>
      <c r="AK11682" s="5" t="s">
        <v>3622</v>
      </c>
    </row>
    <row r="11683" spans="35:37">
      <c r="AI11683" s="468">
        <v>54055</v>
      </c>
      <c r="AJ11683" s="5" t="s">
        <v>3621</v>
      </c>
      <c r="AK11683" s="5" t="s">
        <v>3623</v>
      </c>
    </row>
    <row r="11684" spans="35:37">
      <c r="AI11684" s="468">
        <v>54056</v>
      </c>
      <c r="AJ11684" s="5" t="s">
        <v>3579</v>
      </c>
      <c r="AK11684" s="5" t="s">
        <v>3625</v>
      </c>
    </row>
    <row r="11685" spans="35:37">
      <c r="AI11685" s="468">
        <v>54057</v>
      </c>
      <c r="AJ11685" s="5" t="s">
        <v>3624</v>
      </c>
      <c r="AK11685" s="5" t="s">
        <v>3627</v>
      </c>
    </row>
    <row r="11686" spans="35:37">
      <c r="AI11686" s="468">
        <v>54058</v>
      </c>
      <c r="AJ11686" s="5" t="s">
        <v>3626</v>
      </c>
      <c r="AK11686" s="5" t="s">
        <v>3618</v>
      </c>
    </row>
    <row r="11687" spans="35:37">
      <c r="AI11687" s="468">
        <v>54059</v>
      </c>
      <c r="AJ11687" s="5" t="s">
        <v>3628</v>
      </c>
      <c r="AK11687" s="5" t="s">
        <v>3620</v>
      </c>
    </row>
    <row r="11688" spans="35:37">
      <c r="AI11688" s="468">
        <v>54060</v>
      </c>
      <c r="AJ11688" s="5" t="s">
        <v>3617</v>
      </c>
      <c r="AK11688" s="5" t="s">
        <v>3622</v>
      </c>
    </row>
    <row r="11689" spans="35:37">
      <c r="AI11689" s="468">
        <v>54061</v>
      </c>
      <c r="AJ11689" s="5" t="s">
        <v>3619</v>
      </c>
      <c r="AK11689" s="5" t="s">
        <v>3623</v>
      </c>
    </row>
    <row r="11690" spans="35:37">
      <c r="AI11690" s="468">
        <v>54062</v>
      </c>
      <c r="AJ11690" s="5" t="s">
        <v>3621</v>
      </c>
      <c r="AK11690" s="5" t="s">
        <v>3625</v>
      </c>
    </row>
    <row r="11691" spans="35:37">
      <c r="AI11691" s="468">
        <v>54063</v>
      </c>
      <c r="AJ11691" s="5" t="s">
        <v>3579</v>
      </c>
      <c r="AK11691" s="5" t="s">
        <v>3627</v>
      </c>
    </row>
    <row r="11692" spans="35:37">
      <c r="AI11692" s="468">
        <v>54064</v>
      </c>
      <c r="AJ11692" s="5" t="s">
        <v>3624</v>
      </c>
      <c r="AK11692" s="5" t="s">
        <v>3618</v>
      </c>
    </row>
    <row r="11693" spans="35:37">
      <c r="AI11693" s="468">
        <v>54065</v>
      </c>
      <c r="AJ11693" s="5" t="s">
        <v>3626</v>
      </c>
      <c r="AK11693" s="5" t="s">
        <v>3620</v>
      </c>
    </row>
    <row r="11694" spans="35:37">
      <c r="AI11694" s="468">
        <v>54066</v>
      </c>
      <c r="AJ11694" s="5" t="s">
        <v>3628</v>
      </c>
      <c r="AK11694" s="5" t="s">
        <v>3622</v>
      </c>
    </row>
    <row r="11695" spans="35:37">
      <c r="AI11695" s="468">
        <v>54067</v>
      </c>
      <c r="AJ11695" s="5" t="s">
        <v>3617</v>
      </c>
      <c r="AK11695" s="5" t="s">
        <v>3623</v>
      </c>
    </row>
    <row r="11696" spans="35:37">
      <c r="AI11696" s="468">
        <v>54068</v>
      </c>
      <c r="AJ11696" s="5" t="s">
        <v>3619</v>
      </c>
      <c r="AK11696" s="5" t="s">
        <v>3625</v>
      </c>
    </row>
    <row r="11697" spans="35:37">
      <c r="AI11697" s="468">
        <v>54069</v>
      </c>
      <c r="AJ11697" s="5" t="s">
        <v>3621</v>
      </c>
      <c r="AK11697" s="5" t="s">
        <v>3627</v>
      </c>
    </row>
    <row r="11698" spans="35:37">
      <c r="AI11698" s="468">
        <v>54070</v>
      </c>
      <c r="AJ11698" s="5" t="s">
        <v>3579</v>
      </c>
      <c r="AK11698" s="5" t="s">
        <v>3618</v>
      </c>
    </row>
    <row r="11699" spans="35:37">
      <c r="AI11699" s="468">
        <v>54071</v>
      </c>
      <c r="AJ11699" s="5" t="s">
        <v>3624</v>
      </c>
      <c r="AK11699" s="5" t="s">
        <v>3620</v>
      </c>
    </row>
    <row r="11700" spans="35:37">
      <c r="AI11700" s="468">
        <v>54072</v>
      </c>
      <c r="AJ11700" s="5" t="s">
        <v>3626</v>
      </c>
      <c r="AK11700" s="5" t="s">
        <v>3625</v>
      </c>
    </row>
    <row r="11701" spans="35:37">
      <c r="AI11701" s="468">
        <v>54073</v>
      </c>
      <c r="AJ11701" s="5" t="s">
        <v>3628</v>
      </c>
      <c r="AK11701" s="5" t="s">
        <v>3627</v>
      </c>
    </row>
    <row r="11702" spans="35:37">
      <c r="AI11702" s="468">
        <v>54074</v>
      </c>
      <c r="AJ11702" s="5" t="s">
        <v>3617</v>
      </c>
      <c r="AK11702" s="5" t="s">
        <v>3618</v>
      </c>
    </row>
    <row r="11703" spans="35:37">
      <c r="AI11703" s="468">
        <v>54075</v>
      </c>
      <c r="AJ11703" s="5" t="s">
        <v>3619</v>
      </c>
      <c r="AK11703" s="5" t="s">
        <v>3620</v>
      </c>
    </row>
    <row r="11704" spans="35:37">
      <c r="AI11704" s="468">
        <v>54076</v>
      </c>
      <c r="AJ11704" s="5" t="s">
        <v>3621</v>
      </c>
      <c r="AK11704" s="5" t="s">
        <v>3622</v>
      </c>
    </row>
    <row r="11705" spans="35:37">
      <c r="AI11705" s="468">
        <v>54077</v>
      </c>
      <c r="AJ11705" s="5" t="s">
        <v>3579</v>
      </c>
      <c r="AK11705" s="5" t="s">
        <v>3623</v>
      </c>
    </row>
    <row r="11706" spans="35:37">
      <c r="AI11706" s="468">
        <v>54078</v>
      </c>
      <c r="AJ11706" s="5" t="s">
        <v>3624</v>
      </c>
      <c r="AK11706" s="5" t="s">
        <v>3625</v>
      </c>
    </row>
    <row r="11707" spans="35:37">
      <c r="AI11707" s="468">
        <v>54079</v>
      </c>
      <c r="AJ11707" s="5" t="s">
        <v>3626</v>
      </c>
      <c r="AK11707" s="5" t="s">
        <v>3627</v>
      </c>
    </row>
    <row r="11708" spans="35:37">
      <c r="AI11708" s="468">
        <v>54080</v>
      </c>
      <c r="AJ11708" s="5" t="s">
        <v>3628</v>
      </c>
      <c r="AK11708" s="5" t="s">
        <v>3618</v>
      </c>
    </row>
    <row r="11709" spans="35:37">
      <c r="AI11709" s="468">
        <v>54081</v>
      </c>
      <c r="AJ11709" s="5" t="s">
        <v>3617</v>
      </c>
      <c r="AK11709" s="5" t="s">
        <v>3620</v>
      </c>
    </row>
    <row r="11710" spans="35:37">
      <c r="AI11710" s="468">
        <v>54082</v>
      </c>
      <c r="AJ11710" s="5" t="s">
        <v>3619</v>
      </c>
      <c r="AK11710" s="5" t="s">
        <v>3622</v>
      </c>
    </row>
    <row r="11711" spans="35:37">
      <c r="AI11711" s="468">
        <v>54083</v>
      </c>
      <c r="AJ11711" s="5" t="s">
        <v>3621</v>
      </c>
      <c r="AK11711" s="5" t="s">
        <v>3623</v>
      </c>
    </row>
    <row r="11712" spans="35:37">
      <c r="AI11712" s="468">
        <v>54084</v>
      </c>
      <c r="AJ11712" s="5" t="s">
        <v>3579</v>
      </c>
      <c r="AK11712" s="5" t="s">
        <v>3625</v>
      </c>
    </row>
    <row r="11713" spans="35:37">
      <c r="AI11713" s="468">
        <v>54085</v>
      </c>
      <c r="AJ11713" s="5" t="s">
        <v>3624</v>
      </c>
      <c r="AK11713" s="5" t="s">
        <v>3627</v>
      </c>
    </row>
    <row r="11714" spans="35:37">
      <c r="AI11714" s="468">
        <v>54086</v>
      </c>
      <c r="AJ11714" s="5" t="s">
        <v>3626</v>
      </c>
      <c r="AK11714" s="5" t="s">
        <v>3618</v>
      </c>
    </row>
    <row r="11715" spans="35:37">
      <c r="AI11715" s="468">
        <v>54087</v>
      </c>
      <c r="AJ11715" s="5" t="s">
        <v>3628</v>
      </c>
      <c r="AK11715" s="5" t="s">
        <v>3620</v>
      </c>
    </row>
    <row r="11716" spans="35:37">
      <c r="AI11716" s="468">
        <v>54088</v>
      </c>
      <c r="AJ11716" s="5" t="s">
        <v>3617</v>
      </c>
      <c r="AK11716" s="5" t="s">
        <v>3622</v>
      </c>
    </row>
    <row r="11717" spans="35:37">
      <c r="AI11717" s="468">
        <v>54089</v>
      </c>
      <c r="AJ11717" s="5" t="s">
        <v>3619</v>
      </c>
      <c r="AK11717" s="5" t="s">
        <v>3623</v>
      </c>
    </row>
    <row r="11718" spans="35:37">
      <c r="AI11718" s="468">
        <v>54090</v>
      </c>
      <c r="AJ11718" s="5" t="s">
        <v>3621</v>
      </c>
      <c r="AK11718" s="5" t="s">
        <v>3625</v>
      </c>
    </row>
    <row r="11719" spans="35:37">
      <c r="AI11719" s="468">
        <v>54091</v>
      </c>
      <c r="AJ11719" s="5" t="s">
        <v>3579</v>
      </c>
      <c r="AK11719" s="5" t="s">
        <v>3627</v>
      </c>
    </row>
    <row r="11720" spans="35:37">
      <c r="AI11720" s="468">
        <v>54092</v>
      </c>
      <c r="AJ11720" s="5" t="s">
        <v>3624</v>
      </c>
      <c r="AK11720" s="5" t="s">
        <v>3618</v>
      </c>
    </row>
    <row r="11721" spans="35:37">
      <c r="AI11721" s="468">
        <v>54093</v>
      </c>
      <c r="AJ11721" s="5" t="s">
        <v>3626</v>
      </c>
      <c r="AK11721" s="5" t="s">
        <v>3620</v>
      </c>
    </row>
    <row r="11722" spans="35:37">
      <c r="AI11722" s="468">
        <v>54094</v>
      </c>
      <c r="AJ11722" s="5" t="s">
        <v>3628</v>
      </c>
      <c r="AK11722" s="5" t="s">
        <v>3622</v>
      </c>
    </row>
    <row r="11723" spans="35:37">
      <c r="AI11723" s="468">
        <v>54095</v>
      </c>
      <c r="AJ11723" s="5" t="s">
        <v>3617</v>
      </c>
      <c r="AK11723" s="5" t="s">
        <v>3623</v>
      </c>
    </row>
    <row r="11724" spans="35:37">
      <c r="AI11724" s="468">
        <v>54096</v>
      </c>
      <c r="AJ11724" s="5" t="s">
        <v>3619</v>
      </c>
      <c r="AK11724" s="5" t="s">
        <v>3625</v>
      </c>
    </row>
    <row r="11725" spans="35:37">
      <c r="AI11725" s="468">
        <v>54097</v>
      </c>
      <c r="AJ11725" s="5" t="s">
        <v>3621</v>
      </c>
      <c r="AK11725" s="5" t="s">
        <v>3627</v>
      </c>
    </row>
    <row r="11726" spans="35:37">
      <c r="AI11726" s="468">
        <v>54098</v>
      </c>
      <c r="AJ11726" s="5" t="s">
        <v>3579</v>
      </c>
      <c r="AK11726" s="5" t="s">
        <v>3618</v>
      </c>
    </row>
    <row r="11727" spans="35:37">
      <c r="AI11727" s="468">
        <v>54099</v>
      </c>
      <c r="AJ11727" s="5" t="s">
        <v>3624</v>
      </c>
      <c r="AK11727" s="5" t="s">
        <v>3620</v>
      </c>
    </row>
    <row r="11728" spans="35:37">
      <c r="AI11728" s="468">
        <v>54100</v>
      </c>
      <c r="AJ11728" s="5" t="s">
        <v>3626</v>
      </c>
      <c r="AK11728" s="5" t="s">
        <v>3622</v>
      </c>
    </row>
    <row r="11729" spans="35:37">
      <c r="AI11729" s="468">
        <v>54101</v>
      </c>
      <c r="AJ11729" s="5" t="s">
        <v>3628</v>
      </c>
      <c r="AK11729" s="5" t="s">
        <v>3623</v>
      </c>
    </row>
    <row r="11730" spans="35:37">
      <c r="AI11730" s="468">
        <v>54102</v>
      </c>
      <c r="AJ11730" s="5" t="s">
        <v>3617</v>
      </c>
      <c r="AK11730" s="5" t="s">
        <v>3627</v>
      </c>
    </row>
    <row r="11731" spans="35:37">
      <c r="AI11731" s="468">
        <v>54103</v>
      </c>
      <c r="AJ11731" s="5" t="s">
        <v>3619</v>
      </c>
      <c r="AK11731" s="5" t="s">
        <v>3618</v>
      </c>
    </row>
    <row r="11732" spans="35:37">
      <c r="AI11732" s="468">
        <v>54104</v>
      </c>
      <c r="AJ11732" s="5" t="s">
        <v>3621</v>
      </c>
      <c r="AK11732" s="5" t="s">
        <v>3620</v>
      </c>
    </row>
    <row r="11733" spans="35:37">
      <c r="AI11733" s="468">
        <v>54105</v>
      </c>
      <c r="AJ11733" s="5" t="s">
        <v>3579</v>
      </c>
      <c r="AK11733" s="5" t="s">
        <v>3622</v>
      </c>
    </row>
    <row r="11734" spans="35:37">
      <c r="AI11734" s="468">
        <v>54106</v>
      </c>
      <c r="AJ11734" s="5" t="s">
        <v>3624</v>
      </c>
      <c r="AK11734" s="5" t="s">
        <v>3623</v>
      </c>
    </row>
    <row r="11735" spans="35:37">
      <c r="AI11735" s="468">
        <v>54107</v>
      </c>
      <c r="AJ11735" s="5" t="s">
        <v>3626</v>
      </c>
      <c r="AK11735" s="5" t="s">
        <v>3625</v>
      </c>
    </row>
    <row r="11736" spans="35:37">
      <c r="AI11736" s="468">
        <v>54108</v>
      </c>
      <c r="AJ11736" s="5" t="s">
        <v>3628</v>
      </c>
      <c r="AK11736" s="5" t="s">
        <v>3627</v>
      </c>
    </row>
    <row r="11737" spans="35:37">
      <c r="AI11737" s="468">
        <v>54109</v>
      </c>
      <c r="AJ11737" s="5" t="s">
        <v>3617</v>
      </c>
      <c r="AK11737" s="5" t="s">
        <v>3618</v>
      </c>
    </row>
    <row r="11738" spans="35:37">
      <c r="AI11738" s="468">
        <v>54110</v>
      </c>
      <c r="AJ11738" s="5" t="s">
        <v>3619</v>
      </c>
      <c r="AK11738" s="5" t="s">
        <v>3620</v>
      </c>
    </row>
    <row r="11739" spans="35:37">
      <c r="AI11739" s="468">
        <v>54111</v>
      </c>
      <c r="AJ11739" s="5" t="s">
        <v>3621</v>
      </c>
      <c r="AK11739" s="5" t="s">
        <v>3622</v>
      </c>
    </row>
    <row r="11740" spans="35:37">
      <c r="AI11740" s="468">
        <v>54112</v>
      </c>
      <c r="AJ11740" s="5" t="s">
        <v>3579</v>
      </c>
      <c r="AK11740" s="5" t="s">
        <v>3623</v>
      </c>
    </row>
    <row r="11741" spans="35:37">
      <c r="AI11741" s="468">
        <v>54113</v>
      </c>
      <c r="AJ11741" s="5" t="s">
        <v>3624</v>
      </c>
      <c r="AK11741" s="5" t="s">
        <v>3625</v>
      </c>
    </row>
    <row r="11742" spans="35:37">
      <c r="AI11742" s="468">
        <v>54114</v>
      </c>
      <c r="AJ11742" s="5" t="s">
        <v>3626</v>
      </c>
      <c r="AK11742" s="5" t="s">
        <v>3627</v>
      </c>
    </row>
    <row r="11743" spans="35:37">
      <c r="AI11743" s="468">
        <v>54115</v>
      </c>
      <c r="AJ11743" s="5" t="s">
        <v>3628</v>
      </c>
      <c r="AK11743" s="5" t="s">
        <v>3618</v>
      </c>
    </row>
    <row r="11744" spans="35:37">
      <c r="AI11744" s="468">
        <v>54116</v>
      </c>
      <c r="AJ11744" s="5" t="s">
        <v>3617</v>
      </c>
      <c r="AK11744" s="5" t="s">
        <v>3620</v>
      </c>
    </row>
    <row r="11745" spans="35:37">
      <c r="AI11745" s="468">
        <v>54117</v>
      </c>
      <c r="AJ11745" s="5" t="s">
        <v>3619</v>
      </c>
      <c r="AK11745" s="5" t="s">
        <v>3622</v>
      </c>
    </row>
    <row r="11746" spans="35:37">
      <c r="AI11746" s="468">
        <v>54118</v>
      </c>
      <c r="AJ11746" s="5" t="s">
        <v>3621</v>
      </c>
      <c r="AK11746" s="5" t="s">
        <v>3623</v>
      </c>
    </row>
    <row r="11747" spans="35:37">
      <c r="AI11747" s="468">
        <v>54119</v>
      </c>
      <c r="AJ11747" s="5" t="s">
        <v>3579</v>
      </c>
      <c r="AK11747" s="5" t="s">
        <v>3625</v>
      </c>
    </row>
    <row r="11748" spans="35:37">
      <c r="AI11748" s="468">
        <v>54120</v>
      </c>
      <c r="AJ11748" s="5" t="s">
        <v>3624</v>
      </c>
      <c r="AK11748" s="5" t="s">
        <v>3627</v>
      </c>
    </row>
    <row r="11749" spans="35:37">
      <c r="AI11749" s="468">
        <v>54121</v>
      </c>
      <c r="AJ11749" s="5" t="s">
        <v>3626</v>
      </c>
      <c r="AK11749" s="5" t="s">
        <v>3618</v>
      </c>
    </row>
    <row r="11750" spans="35:37">
      <c r="AI11750" s="468">
        <v>54122</v>
      </c>
      <c r="AJ11750" s="5" t="s">
        <v>3628</v>
      </c>
      <c r="AK11750" s="5" t="s">
        <v>3620</v>
      </c>
    </row>
    <row r="11751" spans="35:37">
      <c r="AI11751" s="468">
        <v>54123</v>
      </c>
      <c r="AJ11751" s="5" t="s">
        <v>3617</v>
      </c>
      <c r="AK11751" s="5" t="s">
        <v>3622</v>
      </c>
    </row>
    <row r="11752" spans="35:37">
      <c r="AI11752" s="468">
        <v>54124</v>
      </c>
      <c r="AJ11752" s="5" t="s">
        <v>3619</v>
      </c>
      <c r="AK11752" s="5" t="s">
        <v>3623</v>
      </c>
    </row>
    <row r="11753" spans="35:37">
      <c r="AI11753" s="468">
        <v>54125</v>
      </c>
      <c r="AJ11753" s="5" t="s">
        <v>3621</v>
      </c>
      <c r="AK11753" s="5" t="s">
        <v>3625</v>
      </c>
    </row>
    <row r="11754" spans="35:37">
      <c r="AI11754" s="468">
        <v>54126</v>
      </c>
      <c r="AJ11754" s="5" t="s">
        <v>3579</v>
      </c>
      <c r="AK11754" s="5" t="s">
        <v>3627</v>
      </c>
    </row>
    <row r="11755" spans="35:37">
      <c r="AI11755" s="468">
        <v>54127</v>
      </c>
      <c r="AJ11755" s="5" t="s">
        <v>3624</v>
      </c>
      <c r="AK11755" s="5" t="s">
        <v>3618</v>
      </c>
    </row>
    <row r="11756" spans="35:37">
      <c r="AI11756" s="468">
        <v>54128</v>
      </c>
      <c r="AJ11756" s="5" t="s">
        <v>3626</v>
      </c>
      <c r="AK11756" s="5" t="s">
        <v>3620</v>
      </c>
    </row>
    <row r="11757" spans="35:37">
      <c r="AI11757" s="468">
        <v>54129</v>
      </c>
      <c r="AJ11757" s="5" t="s">
        <v>3628</v>
      </c>
      <c r="AK11757" s="5" t="s">
        <v>3622</v>
      </c>
    </row>
    <row r="11758" spans="35:37">
      <c r="AI11758" s="468">
        <v>54130</v>
      </c>
      <c r="AJ11758" s="5" t="s">
        <v>3617</v>
      </c>
      <c r="AK11758" s="5" t="s">
        <v>3623</v>
      </c>
    </row>
    <row r="11759" spans="35:37">
      <c r="AI11759" s="468">
        <v>54131</v>
      </c>
      <c r="AJ11759" s="5" t="s">
        <v>3619</v>
      </c>
      <c r="AK11759" s="5" t="s">
        <v>3618</v>
      </c>
    </row>
    <row r="11760" spans="35:37">
      <c r="AI11760" s="468">
        <v>54132</v>
      </c>
      <c r="AJ11760" s="5" t="s">
        <v>3621</v>
      </c>
      <c r="AK11760" s="5" t="s">
        <v>3620</v>
      </c>
    </row>
    <row r="11761" spans="35:37">
      <c r="AI11761" s="468">
        <v>54133</v>
      </c>
      <c r="AJ11761" s="5" t="s">
        <v>3579</v>
      </c>
      <c r="AK11761" s="5" t="s">
        <v>3622</v>
      </c>
    </row>
    <row r="11762" spans="35:37">
      <c r="AI11762" s="468">
        <v>54134</v>
      </c>
      <c r="AJ11762" s="5" t="s">
        <v>3624</v>
      </c>
      <c r="AK11762" s="5" t="s">
        <v>3623</v>
      </c>
    </row>
    <row r="11763" spans="35:37">
      <c r="AI11763" s="468">
        <v>54135</v>
      </c>
      <c r="AJ11763" s="5" t="s">
        <v>3626</v>
      </c>
      <c r="AK11763" s="5" t="s">
        <v>3625</v>
      </c>
    </row>
    <row r="11764" spans="35:37">
      <c r="AI11764" s="468">
        <v>54136</v>
      </c>
      <c r="AJ11764" s="5" t="s">
        <v>3628</v>
      </c>
      <c r="AK11764" s="5" t="s">
        <v>3627</v>
      </c>
    </row>
    <row r="11765" spans="35:37">
      <c r="AI11765" s="468">
        <v>54137</v>
      </c>
      <c r="AJ11765" s="5" t="s">
        <v>3617</v>
      </c>
      <c r="AK11765" s="5" t="s">
        <v>3618</v>
      </c>
    </row>
    <row r="11766" spans="35:37">
      <c r="AI11766" s="468">
        <v>54138</v>
      </c>
      <c r="AJ11766" s="5" t="s">
        <v>3619</v>
      </c>
      <c r="AK11766" s="5" t="s">
        <v>3620</v>
      </c>
    </row>
    <row r="11767" spans="35:37">
      <c r="AI11767" s="468">
        <v>54139</v>
      </c>
      <c r="AJ11767" s="5" t="s">
        <v>3621</v>
      </c>
      <c r="AK11767" s="5" t="s">
        <v>3622</v>
      </c>
    </row>
    <row r="11768" spans="35:37">
      <c r="AI11768" s="468">
        <v>54140</v>
      </c>
      <c r="AJ11768" s="5" t="s">
        <v>3579</v>
      </c>
      <c r="AK11768" s="5" t="s">
        <v>3623</v>
      </c>
    </row>
    <row r="11769" spans="35:37">
      <c r="AI11769" s="468">
        <v>54141</v>
      </c>
      <c r="AJ11769" s="5" t="s">
        <v>3624</v>
      </c>
      <c r="AK11769" s="5" t="s">
        <v>3625</v>
      </c>
    </row>
    <row r="11770" spans="35:37">
      <c r="AI11770" s="468">
        <v>54142</v>
      </c>
      <c r="AJ11770" s="5" t="s">
        <v>3626</v>
      </c>
      <c r="AK11770" s="5" t="s">
        <v>3627</v>
      </c>
    </row>
    <row r="11771" spans="35:37">
      <c r="AI11771" s="468">
        <v>54143</v>
      </c>
      <c r="AJ11771" s="5" t="s">
        <v>3628</v>
      </c>
      <c r="AK11771" s="5" t="s">
        <v>3618</v>
      </c>
    </row>
    <row r="11772" spans="35:37">
      <c r="AI11772" s="468">
        <v>54144</v>
      </c>
      <c r="AJ11772" s="5" t="s">
        <v>3617</v>
      </c>
      <c r="AK11772" s="5" t="s">
        <v>3620</v>
      </c>
    </row>
    <row r="11773" spans="35:37">
      <c r="AI11773" s="468">
        <v>54145</v>
      </c>
      <c r="AJ11773" s="5" t="s">
        <v>3619</v>
      </c>
      <c r="AK11773" s="5" t="s">
        <v>3622</v>
      </c>
    </row>
    <row r="11774" spans="35:37">
      <c r="AI11774" s="468">
        <v>54146</v>
      </c>
      <c r="AJ11774" s="5" t="s">
        <v>3621</v>
      </c>
      <c r="AK11774" s="5" t="s">
        <v>3623</v>
      </c>
    </row>
    <row r="11775" spans="35:37">
      <c r="AI11775" s="468">
        <v>54147</v>
      </c>
      <c r="AJ11775" s="5" t="s">
        <v>3579</v>
      </c>
      <c r="AK11775" s="5" t="s">
        <v>3625</v>
      </c>
    </row>
    <row r="11776" spans="35:37">
      <c r="AI11776" s="468">
        <v>54148</v>
      </c>
      <c r="AJ11776" s="5" t="s">
        <v>3624</v>
      </c>
      <c r="AK11776" s="5" t="s">
        <v>3627</v>
      </c>
    </row>
    <row r="11777" spans="35:37">
      <c r="AI11777" s="468">
        <v>54149</v>
      </c>
      <c r="AJ11777" s="5" t="s">
        <v>3626</v>
      </c>
      <c r="AK11777" s="5" t="s">
        <v>3618</v>
      </c>
    </row>
    <row r="11778" spans="35:37">
      <c r="AI11778" s="468">
        <v>54150</v>
      </c>
      <c r="AJ11778" s="5" t="s">
        <v>3628</v>
      </c>
      <c r="AK11778" s="5" t="s">
        <v>3620</v>
      </c>
    </row>
    <row r="11779" spans="35:37">
      <c r="AI11779" s="468">
        <v>54151</v>
      </c>
      <c r="AJ11779" s="5" t="s">
        <v>3617</v>
      </c>
      <c r="AK11779" s="5" t="s">
        <v>3622</v>
      </c>
    </row>
    <row r="11780" spans="35:37">
      <c r="AI11780" s="468">
        <v>54152</v>
      </c>
      <c r="AJ11780" s="5" t="s">
        <v>3619</v>
      </c>
      <c r="AK11780" s="5" t="s">
        <v>3623</v>
      </c>
    </row>
    <row r="11781" spans="35:37">
      <c r="AI11781" s="468">
        <v>54153</v>
      </c>
      <c r="AJ11781" s="5" t="s">
        <v>3621</v>
      </c>
      <c r="AK11781" s="5" t="s">
        <v>3625</v>
      </c>
    </row>
    <row r="11782" spans="35:37">
      <c r="AI11782" s="468">
        <v>54154</v>
      </c>
      <c r="AJ11782" s="5" t="s">
        <v>3579</v>
      </c>
      <c r="AK11782" s="5" t="s">
        <v>3627</v>
      </c>
    </row>
    <row r="11783" spans="35:37">
      <c r="AI11783" s="468">
        <v>54155</v>
      </c>
      <c r="AJ11783" s="5" t="s">
        <v>3624</v>
      </c>
      <c r="AK11783" s="5" t="s">
        <v>3618</v>
      </c>
    </row>
    <row r="11784" spans="35:37">
      <c r="AI11784" s="468">
        <v>54156</v>
      </c>
      <c r="AJ11784" s="5" t="s">
        <v>3626</v>
      </c>
      <c r="AK11784" s="5" t="s">
        <v>3620</v>
      </c>
    </row>
    <row r="11785" spans="35:37">
      <c r="AI11785" s="468">
        <v>54157</v>
      </c>
      <c r="AJ11785" s="5" t="s">
        <v>3628</v>
      </c>
      <c r="AK11785" s="5" t="s">
        <v>3622</v>
      </c>
    </row>
    <row r="11786" spans="35:37">
      <c r="AI11786" s="468">
        <v>54158</v>
      </c>
      <c r="AJ11786" s="5" t="s">
        <v>3617</v>
      </c>
      <c r="AK11786" s="5" t="s">
        <v>3623</v>
      </c>
    </row>
    <row r="11787" spans="35:37">
      <c r="AI11787" s="468">
        <v>54159</v>
      </c>
      <c r="AJ11787" s="5" t="s">
        <v>3619</v>
      </c>
      <c r="AK11787" s="5" t="s">
        <v>3625</v>
      </c>
    </row>
    <row r="11788" spans="35:37">
      <c r="AI11788" s="468">
        <v>54160</v>
      </c>
      <c r="AJ11788" s="5" t="s">
        <v>3621</v>
      </c>
      <c r="AK11788" s="5" t="s">
        <v>3627</v>
      </c>
    </row>
    <row r="11789" spans="35:37">
      <c r="AI11789" s="468">
        <v>54161</v>
      </c>
      <c r="AJ11789" s="5" t="s">
        <v>3579</v>
      </c>
      <c r="AK11789" s="5" t="s">
        <v>3620</v>
      </c>
    </row>
    <row r="11790" spans="35:37">
      <c r="AI11790" s="468">
        <v>54162</v>
      </c>
      <c r="AJ11790" s="5" t="s">
        <v>3624</v>
      </c>
      <c r="AK11790" s="5" t="s">
        <v>3622</v>
      </c>
    </row>
    <row r="11791" spans="35:37">
      <c r="AI11791" s="468">
        <v>54163</v>
      </c>
      <c r="AJ11791" s="5" t="s">
        <v>3626</v>
      </c>
      <c r="AK11791" s="5" t="s">
        <v>3623</v>
      </c>
    </row>
    <row r="11792" spans="35:37">
      <c r="AI11792" s="468">
        <v>54164</v>
      </c>
      <c r="AJ11792" s="5" t="s">
        <v>3628</v>
      </c>
      <c r="AK11792" s="5" t="s">
        <v>3625</v>
      </c>
    </row>
    <row r="11793" spans="35:37">
      <c r="AI11793" s="468">
        <v>54165</v>
      </c>
      <c r="AJ11793" s="5" t="s">
        <v>3617</v>
      </c>
      <c r="AK11793" s="5" t="s">
        <v>3627</v>
      </c>
    </row>
    <row r="11794" spans="35:37">
      <c r="AI11794" s="468">
        <v>54166</v>
      </c>
      <c r="AJ11794" s="5" t="s">
        <v>3619</v>
      </c>
      <c r="AK11794" s="5" t="s">
        <v>3618</v>
      </c>
    </row>
    <row r="11795" spans="35:37">
      <c r="AI11795" s="468">
        <v>54167</v>
      </c>
      <c r="AJ11795" s="5" t="s">
        <v>3621</v>
      </c>
      <c r="AK11795" s="5" t="s">
        <v>3620</v>
      </c>
    </row>
    <row r="11796" spans="35:37">
      <c r="AI11796" s="468">
        <v>54168</v>
      </c>
      <c r="AJ11796" s="5" t="s">
        <v>3579</v>
      </c>
      <c r="AK11796" s="5" t="s">
        <v>3622</v>
      </c>
    </row>
    <row r="11797" spans="35:37">
      <c r="AI11797" s="468">
        <v>54169</v>
      </c>
      <c r="AJ11797" s="5" t="s">
        <v>3624</v>
      </c>
      <c r="AK11797" s="5" t="s">
        <v>3623</v>
      </c>
    </row>
    <row r="11798" spans="35:37">
      <c r="AI11798" s="468">
        <v>54170</v>
      </c>
      <c r="AJ11798" s="5" t="s">
        <v>3626</v>
      </c>
      <c r="AK11798" s="5" t="s">
        <v>3625</v>
      </c>
    </row>
    <row r="11799" spans="35:37">
      <c r="AI11799" s="468">
        <v>54171</v>
      </c>
      <c r="AJ11799" s="5" t="s">
        <v>3628</v>
      </c>
      <c r="AK11799" s="5" t="s">
        <v>3627</v>
      </c>
    </row>
    <row r="11800" spans="35:37">
      <c r="AI11800" s="468">
        <v>54172</v>
      </c>
      <c r="AJ11800" s="5" t="s">
        <v>3617</v>
      </c>
      <c r="AK11800" s="5" t="s">
        <v>3618</v>
      </c>
    </row>
    <row r="11801" spans="35:37">
      <c r="AI11801" s="468">
        <v>54173</v>
      </c>
      <c r="AJ11801" s="5" t="s">
        <v>3619</v>
      </c>
      <c r="AK11801" s="5" t="s">
        <v>3620</v>
      </c>
    </row>
    <row r="11802" spans="35:37">
      <c r="AI11802" s="468">
        <v>54174</v>
      </c>
      <c r="AJ11802" s="5" t="s">
        <v>3621</v>
      </c>
      <c r="AK11802" s="5" t="s">
        <v>3622</v>
      </c>
    </row>
    <row r="11803" spans="35:37">
      <c r="AI11803" s="468">
        <v>54175</v>
      </c>
      <c r="AJ11803" s="5" t="s">
        <v>3579</v>
      </c>
      <c r="AK11803" s="5" t="s">
        <v>3623</v>
      </c>
    </row>
    <row r="11804" spans="35:37">
      <c r="AI11804" s="468">
        <v>54176</v>
      </c>
      <c r="AJ11804" s="5" t="s">
        <v>3624</v>
      </c>
      <c r="AK11804" s="5" t="s">
        <v>3625</v>
      </c>
    </row>
    <row r="11805" spans="35:37">
      <c r="AI11805" s="468">
        <v>54177</v>
      </c>
      <c r="AJ11805" s="5" t="s">
        <v>3626</v>
      </c>
      <c r="AK11805" s="5" t="s">
        <v>3627</v>
      </c>
    </row>
    <row r="11806" spans="35:37">
      <c r="AI11806" s="468">
        <v>54178</v>
      </c>
      <c r="AJ11806" s="5" t="s">
        <v>3628</v>
      </c>
      <c r="AK11806" s="5" t="s">
        <v>3618</v>
      </c>
    </row>
    <row r="11807" spans="35:37">
      <c r="AI11807" s="468">
        <v>54179</v>
      </c>
      <c r="AJ11807" s="5" t="s">
        <v>3617</v>
      </c>
      <c r="AK11807" s="5" t="s">
        <v>3620</v>
      </c>
    </row>
    <row r="11808" spans="35:37">
      <c r="AI11808" s="468">
        <v>54180</v>
      </c>
      <c r="AJ11808" s="5" t="s">
        <v>3619</v>
      </c>
      <c r="AK11808" s="5" t="s">
        <v>3622</v>
      </c>
    </row>
    <row r="11809" spans="35:37">
      <c r="AI11809" s="468">
        <v>54181</v>
      </c>
      <c r="AJ11809" s="5" t="s">
        <v>3621</v>
      </c>
      <c r="AK11809" s="5" t="s">
        <v>3623</v>
      </c>
    </row>
    <row r="11810" spans="35:37">
      <c r="AI11810" s="468">
        <v>54182</v>
      </c>
      <c r="AJ11810" s="5" t="s">
        <v>3579</v>
      </c>
      <c r="AK11810" s="5" t="s">
        <v>3625</v>
      </c>
    </row>
    <row r="11811" spans="35:37">
      <c r="AI11811" s="468">
        <v>54183</v>
      </c>
      <c r="AJ11811" s="5" t="s">
        <v>3624</v>
      </c>
      <c r="AK11811" s="5" t="s">
        <v>3627</v>
      </c>
    </row>
    <row r="11812" spans="35:37">
      <c r="AI11812" s="468">
        <v>54184</v>
      </c>
      <c r="AJ11812" s="5" t="s">
        <v>3626</v>
      </c>
      <c r="AK11812" s="5" t="s">
        <v>3618</v>
      </c>
    </row>
    <row r="11813" spans="35:37">
      <c r="AI11813" s="468">
        <v>54185</v>
      </c>
      <c r="AJ11813" s="5" t="s">
        <v>3628</v>
      </c>
      <c r="AK11813" s="5" t="s">
        <v>3620</v>
      </c>
    </row>
    <row r="11814" spans="35:37">
      <c r="AI11814" s="468">
        <v>54186</v>
      </c>
      <c r="AJ11814" s="5" t="s">
        <v>3617</v>
      </c>
      <c r="AK11814" s="5" t="s">
        <v>3622</v>
      </c>
    </row>
    <row r="11815" spans="35:37">
      <c r="AI11815" s="468">
        <v>54187</v>
      </c>
      <c r="AJ11815" s="5" t="s">
        <v>3619</v>
      </c>
      <c r="AK11815" s="5" t="s">
        <v>3623</v>
      </c>
    </row>
    <row r="11816" spans="35:37">
      <c r="AI11816" s="468">
        <v>54188</v>
      </c>
      <c r="AJ11816" s="5" t="s">
        <v>3621</v>
      </c>
      <c r="AK11816" s="5" t="s">
        <v>3625</v>
      </c>
    </row>
    <row r="11817" spans="35:37">
      <c r="AI11817" s="468">
        <v>54189</v>
      </c>
      <c r="AJ11817" s="5" t="s">
        <v>3579</v>
      </c>
      <c r="AK11817" s="5" t="s">
        <v>3627</v>
      </c>
    </row>
    <row r="11818" spans="35:37">
      <c r="AI11818" s="468">
        <v>54190</v>
      </c>
      <c r="AJ11818" s="5" t="s">
        <v>3624</v>
      </c>
      <c r="AK11818" s="5" t="s">
        <v>3618</v>
      </c>
    </row>
    <row r="11819" spans="35:37">
      <c r="AI11819" s="468">
        <v>54191</v>
      </c>
      <c r="AJ11819" s="5" t="s">
        <v>3626</v>
      </c>
      <c r="AK11819" s="5" t="s">
        <v>3622</v>
      </c>
    </row>
    <row r="11820" spans="35:37">
      <c r="AI11820" s="468">
        <v>54192</v>
      </c>
      <c r="AJ11820" s="5" t="s">
        <v>3628</v>
      </c>
      <c r="AK11820" s="5" t="s">
        <v>3623</v>
      </c>
    </row>
    <row r="11821" spans="35:37">
      <c r="AI11821" s="468">
        <v>54193</v>
      </c>
      <c r="AJ11821" s="5" t="s">
        <v>3617</v>
      </c>
      <c r="AK11821" s="5" t="s">
        <v>3625</v>
      </c>
    </row>
    <row r="11822" spans="35:37">
      <c r="AI11822" s="468">
        <v>54194</v>
      </c>
      <c r="AJ11822" s="5" t="s">
        <v>3619</v>
      </c>
      <c r="AK11822" s="5" t="s">
        <v>3627</v>
      </c>
    </row>
    <row r="11823" spans="35:37">
      <c r="AI11823" s="468">
        <v>54195</v>
      </c>
      <c r="AJ11823" s="5" t="s">
        <v>3621</v>
      </c>
      <c r="AK11823" s="5" t="s">
        <v>3618</v>
      </c>
    </row>
    <row r="11824" spans="35:37">
      <c r="AI11824" s="468">
        <v>54196</v>
      </c>
      <c r="AJ11824" s="5" t="s">
        <v>3579</v>
      </c>
      <c r="AK11824" s="5" t="s">
        <v>3620</v>
      </c>
    </row>
    <row r="11825" spans="35:37">
      <c r="AI11825" s="468">
        <v>54197</v>
      </c>
      <c r="AJ11825" s="5" t="s">
        <v>3624</v>
      </c>
      <c r="AK11825" s="5" t="s">
        <v>3622</v>
      </c>
    </row>
    <row r="11826" spans="35:37">
      <c r="AI11826" s="468">
        <v>54198</v>
      </c>
      <c r="AJ11826" s="5" t="s">
        <v>3626</v>
      </c>
      <c r="AK11826" s="5" t="s">
        <v>3623</v>
      </c>
    </row>
    <row r="11827" spans="35:37">
      <c r="AI11827" s="468">
        <v>54199</v>
      </c>
      <c r="AJ11827" s="5" t="s">
        <v>3628</v>
      </c>
      <c r="AK11827" s="5" t="s">
        <v>3625</v>
      </c>
    </row>
    <row r="11828" spans="35:37">
      <c r="AI11828" s="468">
        <v>54200</v>
      </c>
      <c r="AJ11828" s="5" t="s">
        <v>3617</v>
      </c>
      <c r="AK11828" s="5" t="s">
        <v>3627</v>
      </c>
    </row>
    <row r="11829" spans="35:37">
      <c r="AI11829" s="468">
        <v>54201</v>
      </c>
      <c r="AJ11829" s="5" t="s">
        <v>3619</v>
      </c>
      <c r="AK11829" s="5" t="s">
        <v>3618</v>
      </c>
    </row>
    <row r="11830" spans="35:37">
      <c r="AI11830" s="468">
        <v>54202</v>
      </c>
      <c r="AJ11830" s="5" t="s">
        <v>3621</v>
      </c>
      <c r="AK11830" s="5" t="s">
        <v>3620</v>
      </c>
    </row>
    <row r="11831" spans="35:37">
      <c r="AI11831" s="468">
        <v>54203</v>
      </c>
      <c r="AJ11831" s="5" t="s">
        <v>3579</v>
      </c>
      <c r="AK11831" s="5" t="s">
        <v>3622</v>
      </c>
    </row>
    <row r="11832" spans="35:37">
      <c r="AI11832" s="468">
        <v>54204</v>
      </c>
      <c r="AJ11832" s="5" t="s">
        <v>3624</v>
      </c>
      <c r="AK11832" s="5" t="s">
        <v>3623</v>
      </c>
    </row>
    <row r="11833" spans="35:37">
      <c r="AI11833" s="468">
        <v>54205</v>
      </c>
      <c r="AJ11833" s="5" t="s">
        <v>3626</v>
      </c>
      <c r="AK11833" s="5" t="s">
        <v>3625</v>
      </c>
    </row>
    <row r="11834" spans="35:37">
      <c r="AI11834" s="468">
        <v>54206</v>
      </c>
      <c r="AJ11834" s="5" t="s">
        <v>3628</v>
      </c>
      <c r="AK11834" s="5" t="s">
        <v>3627</v>
      </c>
    </row>
    <row r="11835" spans="35:37">
      <c r="AI11835" s="468">
        <v>54207</v>
      </c>
      <c r="AJ11835" s="5" t="s">
        <v>3617</v>
      </c>
      <c r="AK11835" s="5" t="s">
        <v>3618</v>
      </c>
    </row>
    <row r="11836" spans="35:37">
      <c r="AI11836" s="468">
        <v>54208</v>
      </c>
      <c r="AJ11836" s="5" t="s">
        <v>3619</v>
      </c>
      <c r="AK11836" s="5" t="s">
        <v>3620</v>
      </c>
    </row>
    <row r="11837" spans="35:37">
      <c r="AI11837" s="468">
        <v>54209</v>
      </c>
      <c r="AJ11837" s="5" t="s">
        <v>3621</v>
      </c>
      <c r="AK11837" s="5" t="s">
        <v>3622</v>
      </c>
    </row>
    <row r="11838" spans="35:37">
      <c r="AI11838" s="468">
        <v>54210</v>
      </c>
      <c r="AJ11838" s="5" t="s">
        <v>3579</v>
      </c>
      <c r="AK11838" s="5" t="s">
        <v>3623</v>
      </c>
    </row>
    <row r="11839" spans="35:37">
      <c r="AI11839" s="468">
        <v>54211</v>
      </c>
      <c r="AJ11839" s="5" t="s">
        <v>3624</v>
      </c>
      <c r="AK11839" s="5" t="s">
        <v>3625</v>
      </c>
    </row>
    <row r="11840" spans="35:37">
      <c r="AI11840" s="468">
        <v>54212</v>
      </c>
      <c r="AJ11840" s="5" t="s">
        <v>3626</v>
      </c>
      <c r="AK11840" s="5" t="s">
        <v>3627</v>
      </c>
    </row>
    <row r="11841" spans="35:37">
      <c r="AI11841" s="468">
        <v>54213</v>
      </c>
      <c r="AJ11841" s="5" t="s">
        <v>3628</v>
      </c>
      <c r="AK11841" s="5" t="s">
        <v>3618</v>
      </c>
    </row>
    <row r="11842" spans="35:37">
      <c r="AI11842" s="468">
        <v>54214</v>
      </c>
      <c r="AJ11842" s="5" t="s">
        <v>3617</v>
      </c>
      <c r="AK11842" s="5" t="s">
        <v>3620</v>
      </c>
    </row>
    <row r="11843" spans="35:37">
      <c r="AI11843" s="468">
        <v>54215</v>
      </c>
      <c r="AJ11843" s="5" t="s">
        <v>3619</v>
      </c>
      <c r="AK11843" s="5" t="s">
        <v>3622</v>
      </c>
    </row>
    <row r="11844" spans="35:37">
      <c r="AI11844" s="468">
        <v>54216</v>
      </c>
      <c r="AJ11844" s="5" t="s">
        <v>3621</v>
      </c>
      <c r="AK11844" s="5" t="s">
        <v>3623</v>
      </c>
    </row>
    <row r="11845" spans="35:37">
      <c r="AI11845" s="468">
        <v>54217</v>
      </c>
      <c r="AJ11845" s="5" t="s">
        <v>3579</v>
      </c>
      <c r="AK11845" s="5" t="s">
        <v>3625</v>
      </c>
    </row>
    <row r="11846" spans="35:37">
      <c r="AI11846" s="468">
        <v>54218</v>
      </c>
      <c r="AJ11846" s="5" t="s">
        <v>3624</v>
      </c>
      <c r="AK11846" s="5" t="s">
        <v>3627</v>
      </c>
    </row>
    <row r="11847" spans="35:37">
      <c r="AI11847" s="468">
        <v>54219</v>
      </c>
      <c r="AJ11847" s="5" t="s">
        <v>3626</v>
      </c>
      <c r="AK11847" s="5" t="s">
        <v>3618</v>
      </c>
    </row>
    <row r="11848" spans="35:37">
      <c r="AI11848" s="468">
        <v>54220</v>
      </c>
      <c r="AJ11848" s="5" t="s">
        <v>3628</v>
      </c>
      <c r="AK11848" s="5" t="s">
        <v>3623</v>
      </c>
    </row>
    <row r="11849" spans="35:37">
      <c r="AI11849" s="468">
        <v>54221</v>
      </c>
      <c r="AJ11849" s="5" t="s">
        <v>3617</v>
      </c>
      <c r="AK11849" s="5" t="s">
        <v>3625</v>
      </c>
    </row>
    <row r="11850" spans="35:37">
      <c r="AI11850" s="468">
        <v>54222</v>
      </c>
      <c r="AJ11850" s="5" t="s">
        <v>3619</v>
      </c>
      <c r="AK11850" s="5" t="s">
        <v>3627</v>
      </c>
    </row>
    <row r="11851" spans="35:37">
      <c r="AI11851" s="468">
        <v>54223</v>
      </c>
      <c r="AJ11851" s="5" t="s">
        <v>3621</v>
      </c>
      <c r="AK11851" s="5" t="s">
        <v>3618</v>
      </c>
    </row>
    <row r="11852" spans="35:37">
      <c r="AI11852" s="468">
        <v>54224</v>
      </c>
      <c r="AJ11852" s="5" t="s">
        <v>3579</v>
      </c>
      <c r="AK11852" s="5" t="s">
        <v>3620</v>
      </c>
    </row>
    <row r="11853" spans="35:37">
      <c r="AI11853" s="468">
        <v>54225</v>
      </c>
      <c r="AJ11853" s="5" t="s">
        <v>3624</v>
      </c>
      <c r="AK11853" s="5" t="s">
        <v>3622</v>
      </c>
    </row>
    <row r="11854" spans="35:37">
      <c r="AI11854" s="468">
        <v>54226</v>
      </c>
      <c r="AJ11854" s="5" t="s">
        <v>3626</v>
      </c>
      <c r="AK11854" s="5" t="s">
        <v>3623</v>
      </c>
    </row>
    <row r="11855" spans="35:37">
      <c r="AI11855" s="468">
        <v>54227</v>
      </c>
      <c r="AJ11855" s="5" t="s">
        <v>3628</v>
      </c>
      <c r="AK11855" s="5" t="s">
        <v>3625</v>
      </c>
    </row>
    <row r="11856" spans="35:37">
      <c r="AI11856" s="468">
        <v>54228</v>
      </c>
      <c r="AJ11856" s="5" t="s">
        <v>3617</v>
      </c>
      <c r="AK11856" s="5" t="s">
        <v>3627</v>
      </c>
    </row>
    <row r="11857" spans="35:37">
      <c r="AI11857" s="468">
        <v>54229</v>
      </c>
      <c r="AJ11857" s="5" t="s">
        <v>3619</v>
      </c>
      <c r="AK11857" s="5" t="s">
        <v>3618</v>
      </c>
    </row>
    <row r="11858" spans="35:37">
      <c r="AI11858" s="468">
        <v>54230</v>
      </c>
      <c r="AJ11858" s="5" t="s">
        <v>3621</v>
      </c>
      <c r="AK11858" s="5" t="s">
        <v>3620</v>
      </c>
    </row>
    <row r="11859" spans="35:37">
      <c r="AI11859" s="468">
        <v>54231</v>
      </c>
      <c r="AJ11859" s="5" t="s">
        <v>3579</v>
      </c>
      <c r="AK11859" s="5" t="s">
        <v>3622</v>
      </c>
    </row>
    <row r="11860" spans="35:37">
      <c r="AI11860" s="468">
        <v>54232</v>
      </c>
      <c r="AJ11860" s="5" t="s">
        <v>3624</v>
      </c>
      <c r="AK11860" s="5" t="s">
        <v>3623</v>
      </c>
    </row>
    <row r="11861" spans="35:37">
      <c r="AI11861" s="468">
        <v>54233</v>
      </c>
      <c r="AJ11861" s="5" t="s">
        <v>3626</v>
      </c>
      <c r="AK11861" s="5" t="s">
        <v>3625</v>
      </c>
    </row>
    <row r="11862" spans="35:37">
      <c r="AI11862" s="468">
        <v>54234</v>
      </c>
      <c r="AJ11862" s="5" t="s">
        <v>3628</v>
      </c>
      <c r="AK11862" s="5" t="s">
        <v>3627</v>
      </c>
    </row>
    <row r="11863" spans="35:37">
      <c r="AI11863" s="468">
        <v>54235</v>
      </c>
      <c r="AJ11863" s="5" t="s">
        <v>3617</v>
      </c>
      <c r="AK11863" s="5" t="s">
        <v>3618</v>
      </c>
    </row>
    <row r="11864" spans="35:37">
      <c r="AI11864" s="468">
        <v>54236</v>
      </c>
      <c r="AJ11864" s="5" t="s">
        <v>3619</v>
      </c>
      <c r="AK11864" s="5" t="s">
        <v>3620</v>
      </c>
    </row>
    <row r="11865" spans="35:37">
      <c r="AI11865" s="468">
        <v>54237</v>
      </c>
      <c r="AJ11865" s="5" t="s">
        <v>3621</v>
      </c>
      <c r="AK11865" s="5" t="s">
        <v>3622</v>
      </c>
    </row>
    <row r="11866" spans="35:37">
      <c r="AI11866" s="468">
        <v>54238</v>
      </c>
      <c r="AJ11866" s="5" t="s">
        <v>3579</v>
      </c>
      <c r="AK11866" s="5" t="s">
        <v>3623</v>
      </c>
    </row>
    <row r="11867" spans="35:37">
      <c r="AI11867" s="468">
        <v>54239</v>
      </c>
      <c r="AJ11867" s="5" t="s">
        <v>3624</v>
      </c>
      <c r="AK11867" s="5" t="s">
        <v>3625</v>
      </c>
    </row>
    <row r="11868" spans="35:37">
      <c r="AI11868" s="468">
        <v>54240</v>
      </c>
      <c r="AJ11868" s="5" t="s">
        <v>3626</v>
      </c>
      <c r="AK11868" s="5" t="s">
        <v>3627</v>
      </c>
    </row>
    <row r="11869" spans="35:37">
      <c r="AI11869" s="468">
        <v>54241</v>
      </c>
      <c r="AJ11869" s="5" t="s">
        <v>3628</v>
      </c>
      <c r="AK11869" s="5" t="s">
        <v>3618</v>
      </c>
    </row>
    <row r="11870" spans="35:37">
      <c r="AI11870" s="468">
        <v>54242</v>
      </c>
      <c r="AJ11870" s="5" t="s">
        <v>3617</v>
      </c>
      <c r="AK11870" s="5" t="s">
        <v>3620</v>
      </c>
    </row>
    <row r="11871" spans="35:37">
      <c r="AI11871" s="468">
        <v>54243</v>
      </c>
      <c r="AJ11871" s="5" t="s">
        <v>3619</v>
      </c>
      <c r="AK11871" s="5" t="s">
        <v>3622</v>
      </c>
    </row>
    <row r="11872" spans="35:37">
      <c r="AI11872" s="468">
        <v>54244</v>
      </c>
      <c r="AJ11872" s="5" t="s">
        <v>3621</v>
      </c>
      <c r="AK11872" s="5" t="s">
        <v>3623</v>
      </c>
    </row>
    <row r="11873" spans="35:37">
      <c r="AI11873" s="468">
        <v>54245</v>
      </c>
      <c r="AJ11873" s="5" t="s">
        <v>3579</v>
      </c>
      <c r="AK11873" s="5" t="s">
        <v>3625</v>
      </c>
    </row>
    <row r="11874" spans="35:37">
      <c r="AI11874" s="468">
        <v>54246</v>
      </c>
      <c r="AJ11874" s="5" t="s">
        <v>3624</v>
      </c>
      <c r="AK11874" s="5" t="s">
        <v>3627</v>
      </c>
    </row>
    <row r="11875" spans="35:37">
      <c r="AI11875" s="468">
        <v>54247</v>
      </c>
      <c r="AJ11875" s="5" t="s">
        <v>3626</v>
      </c>
      <c r="AK11875" s="5" t="s">
        <v>3618</v>
      </c>
    </row>
    <row r="11876" spans="35:37">
      <c r="AI11876" s="468">
        <v>54248</v>
      </c>
      <c r="AJ11876" s="5" t="s">
        <v>3628</v>
      </c>
      <c r="AK11876" s="5" t="s">
        <v>3620</v>
      </c>
    </row>
    <row r="11877" spans="35:37">
      <c r="AI11877" s="468">
        <v>54249</v>
      </c>
      <c r="AJ11877" s="5" t="s">
        <v>3617</v>
      </c>
      <c r="AK11877" s="5" t="s">
        <v>3622</v>
      </c>
    </row>
    <row r="11878" spans="35:37">
      <c r="AI11878" s="468">
        <v>54250</v>
      </c>
      <c r="AJ11878" s="5" t="s">
        <v>3619</v>
      </c>
      <c r="AK11878" s="5" t="s">
        <v>3625</v>
      </c>
    </row>
    <row r="11879" spans="35:37">
      <c r="AI11879" s="468">
        <v>54251</v>
      </c>
      <c r="AJ11879" s="5" t="s">
        <v>3621</v>
      </c>
      <c r="AK11879" s="5" t="s">
        <v>3627</v>
      </c>
    </row>
    <row r="11880" spans="35:37">
      <c r="AI11880" s="468">
        <v>54252</v>
      </c>
      <c r="AJ11880" s="5" t="s">
        <v>3579</v>
      </c>
      <c r="AK11880" s="5" t="s">
        <v>3618</v>
      </c>
    </row>
    <row r="11881" spans="35:37">
      <c r="AI11881" s="468">
        <v>54253</v>
      </c>
      <c r="AJ11881" s="5" t="s">
        <v>3624</v>
      </c>
      <c r="AK11881" s="5" t="s">
        <v>3620</v>
      </c>
    </row>
    <row r="11882" spans="35:37">
      <c r="AI11882" s="468">
        <v>54254</v>
      </c>
      <c r="AJ11882" s="5" t="s">
        <v>3626</v>
      </c>
      <c r="AK11882" s="5" t="s">
        <v>3622</v>
      </c>
    </row>
    <row r="11883" spans="35:37">
      <c r="AI11883" s="468">
        <v>54255</v>
      </c>
      <c r="AJ11883" s="5" t="s">
        <v>3628</v>
      </c>
      <c r="AK11883" s="5" t="s">
        <v>3623</v>
      </c>
    </row>
    <row r="11884" spans="35:37">
      <c r="AI11884" s="468">
        <v>54256</v>
      </c>
      <c r="AJ11884" s="5" t="s">
        <v>3617</v>
      </c>
      <c r="AK11884" s="5" t="s">
        <v>3625</v>
      </c>
    </row>
    <row r="11885" spans="35:37">
      <c r="AI11885" s="468">
        <v>54257</v>
      </c>
      <c r="AJ11885" s="5" t="s">
        <v>3619</v>
      </c>
      <c r="AK11885" s="5" t="s">
        <v>3627</v>
      </c>
    </row>
    <row r="11886" spans="35:37">
      <c r="AI11886" s="468">
        <v>54258</v>
      </c>
      <c r="AJ11886" s="5" t="s">
        <v>3621</v>
      </c>
      <c r="AK11886" s="5" t="s">
        <v>3618</v>
      </c>
    </row>
    <row r="11887" spans="35:37">
      <c r="AI11887" s="468">
        <v>54259</v>
      </c>
      <c r="AJ11887" s="5" t="s">
        <v>3579</v>
      </c>
      <c r="AK11887" s="5" t="s">
        <v>3620</v>
      </c>
    </row>
    <row r="11888" spans="35:37">
      <c r="AI11888" s="468">
        <v>54260</v>
      </c>
      <c r="AJ11888" s="5" t="s">
        <v>3624</v>
      </c>
      <c r="AK11888" s="5" t="s">
        <v>3622</v>
      </c>
    </row>
    <row r="11889" spans="35:37">
      <c r="AI11889" s="468">
        <v>54261</v>
      </c>
      <c r="AJ11889" s="5" t="s">
        <v>3626</v>
      </c>
      <c r="AK11889" s="5" t="s">
        <v>3623</v>
      </c>
    </row>
    <row r="11890" spans="35:37">
      <c r="AI11890" s="468">
        <v>54262</v>
      </c>
      <c r="AJ11890" s="5" t="s">
        <v>3628</v>
      </c>
      <c r="AK11890" s="5" t="s">
        <v>3625</v>
      </c>
    </row>
    <row r="11891" spans="35:37">
      <c r="AI11891" s="468">
        <v>54263</v>
      </c>
      <c r="AJ11891" s="5" t="s">
        <v>3617</v>
      </c>
      <c r="AK11891" s="5" t="s">
        <v>3627</v>
      </c>
    </row>
    <row r="11892" spans="35:37">
      <c r="AI11892" s="468">
        <v>54264</v>
      </c>
      <c r="AJ11892" s="5" t="s">
        <v>3619</v>
      </c>
      <c r="AK11892" s="5" t="s">
        <v>3618</v>
      </c>
    </row>
    <row r="11893" spans="35:37">
      <c r="AI11893" s="468">
        <v>54265</v>
      </c>
      <c r="AJ11893" s="5" t="s">
        <v>3621</v>
      </c>
      <c r="AK11893" s="5" t="s">
        <v>3620</v>
      </c>
    </row>
    <row r="11894" spans="35:37">
      <c r="AI11894" s="468">
        <v>54266</v>
      </c>
      <c r="AJ11894" s="5" t="s">
        <v>3579</v>
      </c>
      <c r="AK11894" s="5" t="s">
        <v>3622</v>
      </c>
    </row>
    <row r="11895" spans="35:37">
      <c r="AI11895" s="468">
        <v>54267</v>
      </c>
      <c r="AJ11895" s="5" t="s">
        <v>3624</v>
      </c>
      <c r="AK11895" s="5" t="s">
        <v>3623</v>
      </c>
    </row>
    <row r="11896" spans="35:37">
      <c r="AI11896" s="468">
        <v>54268</v>
      </c>
      <c r="AJ11896" s="5" t="s">
        <v>3626</v>
      </c>
      <c r="AK11896" s="5" t="s">
        <v>3625</v>
      </c>
    </row>
    <row r="11897" spans="35:37">
      <c r="AI11897" s="468">
        <v>54269</v>
      </c>
      <c r="AJ11897" s="5" t="s">
        <v>3628</v>
      </c>
      <c r="AK11897" s="5" t="s">
        <v>3627</v>
      </c>
    </row>
    <row r="11898" spans="35:37">
      <c r="AI11898" s="468">
        <v>54270</v>
      </c>
      <c r="AJ11898" s="5" t="s">
        <v>3617</v>
      </c>
      <c r="AK11898" s="5" t="s">
        <v>3618</v>
      </c>
    </row>
    <row r="11899" spans="35:37">
      <c r="AI11899" s="468">
        <v>54271</v>
      </c>
      <c r="AJ11899" s="5" t="s">
        <v>3619</v>
      </c>
      <c r="AK11899" s="5" t="s">
        <v>3620</v>
      </c>
    </row>
    <row r="11900" spans="35:37">
      <c r="AI11900" s="468">
        <v>54272</v>
      </c>
      <c r="AJ11900" s="5" t="s">
        <v>3621</v>
      </c>
      <c r="AK11900" s="5" t="s">
        <v>3622</v>
      </c>
    </row>
    <row r="11901" spans="35:37">
      <c r="AI11901" s="468">
        <v>54273</v>
      </c>
      <c r="AJ11901" s="5" t="s">
        <v>3579</v>
      </c>
      <c r="AK11901" s="5" t="s">
        <v>3623</v>
      </c>
    </row>
    <row r="11902" spans="35:37">
      <c r="AI11902" s="468">
        <v>54274</v>
      </c>
      <c r="AJ11902" s="5" t="s">
        <v>3624</v>
      </c>
      <c r="AK11902" s="5" t="s">
        <v>3625</v>
      </c>
    </row>
    <row r="11903" spans="35:37">
      <c r="AI11903" s="468">
        <v>54275</v>
      </c>
      <c r="AJ11903" s="5" t="s">
        <v>3626</v>
      </c>
      <c r="AK11903" s="5" t="s">
        <v>3627</v>
      </c>
    </row>
    <row r="11904" spans="35:37">
      <c r="AI11904" s="468">
        <v>54276</v>
      </c>
      <c r="AJ11904" s="5" t="s">
        <v>3628</v>
      </c>
      <c r="AK11904" s="5" t="s">
        <v>3618</v>
      </c>
    </row>
    <row r="11905" spans="35:37">
      <c r="AI11905" s="468">
        <v>54277</v>
      </c>
      <c r="AJ11905" s="5" t="s">
        <v>3617</v>
      </c>
      <c r="AK11905" s="5" t="s">
        <v>3620</v>
      </c>
    </row>
    <row r="11906" spans="35:37">
      <c r="AI11906" s="468">
        <v>54278</v>
      </c>
      <c r="AJ11906" s="5" t="s">
        <v>3619</v>
      </c>
      <c r="AK11906" s="5" t="s">
        <v>3622</v>
      </c>
    </row>
    <row r="11907" spans="35:37">
      <c r="AI11907" s="468">
        <v>54279</v>
      </c>
      <c r="AJ11907" s="5" t="s">
        <v>3621</v>
      </c>
      <c r="AK11907" s="5" t="s">
        <v>3623</v>
      </c>
    </row>
    <row r="11908" spans="35:37">
      <c r="AI11908" s="468">
        <v>54280</v>
      </c>
      <c r="AJ11908" s="5" t="s">
        <v>3579</v>
      </c>
      <c r="AK11908" s="5" t="s">
        <v>3627</v>
      </c>
    </row>
    <row r="11909" spans="35:37">
      <c r="AI11909" s="468">
        <v>54281</v>
      </c>
      <c r="AJ11909" s="5" t="s">
        <v>3624</v>
      </c>
      <c r="AK11909" s="5" t="s">
        <v>3618</v>
      </c>
    </row>
    <row r="11910" spans="35:37">
      <c r="AI11910" s="468">
        <v>54282</v>
      </c>
      <c r="AJ11910" s="5" t="s">
        <v>3626</v>
      </c>
      <c r="AK11910" s="5" t="s">
        <v>3620</v>
      </c>
    </row>
    <row r="11911" spans="35:37">
      <c r="AI11911" s="468">
        <v>54283</v>
      </c>
      <c r="AJ11911" s="5" t="s">
        <v>3628</v>
      </c>
      <c r="AK11911" s="5" t="s">
        <v>3622</v>
      </c>
    </row>
    <row r="11912" spans="35:37">
      <c r="AI11912" s="468">
        <v>54284</v>
      </c>
      <c r="AJ11912" s="5" t="s">
        <v>3617</v>
      </c>
      <c r="AK11912" s="5" t="s">
        <v>3623</v>
      </c>
    </row>
    <row r="11913" spans="35:37">
      <c r="AI11913" s="468">
        <v>54285</v>
      </c>
      <c r="AJ11913" s="5" t="s">
        <v>3619</v>
      </c>
      <c r="AK11913" s="5" t="s">
        <v>3625</v>
      </c>
    </row>
    <row r="11914" spans="35:37">
      <c r="AI11914" s="468">
        <v>54286</v>
      </c>
      <c r="AJ11914" s="5" t="s">
        <v>3621</v>
      </c>
      <c r="AK11914" s="5" t="s">
        <v>3627</v>
      </c>
    </row>
    <row r="11915" spans="35:37">
      <c r="AI11915" s="468">
        <v>54287</v>
      </c>
      <c r="AJ11915" s="5" t="s">
        <v>3579</v>
      </c>
      <c r="AK11915" s="5" t="s">
        <v>3618</v>
      </c>
    </row>
    <row r="11916" spans="35:37">
      <c r="AI11916" s="468">
        <v>54288</v>
      </c>
      <c r="AJ11916" s="5" t="s">
        <v>3624</v>
      </c>
      <c r="AK11916" s="5" t="s">
        <v>3620</v>
      </c>
    </row>
    <row r="11917" spans="35:37">
      <c r="AI11917" s="468">
        <v>54289</v>
      </c>
      <c r="AJ11917" s="5" t="s">
        <v>3626</v>
      </c>
      <c r="AK11917" s="5" t="s">
        <v>3622</v>
      </c>
    </row>
    <row r="11918" spans="35:37">
      <c r="AI11918" s="468">
        <v>54290</v>
      </c>
      <c r="AJ11918" s="5" t="s">
        <v>3628</v>
      </c>
      <c r="AK11918" s="5" t="s">
        <v>3623</v>
      </c>
    </row>
    <row r="11919" spans="35:37">
      <c r="AI11919" s="468">
        <v>54291</v>
      </c>
      <c r="AJ11919" s="5" t="s">
        <v>3617</v>
      </c>
      <c r="AK11919" s="5" t="s">
        <v>3625</v>
      </c>
    </row>
    <row r="11920" spans="35:37">
      <c r="AI11920" s="468">
        <v>54292</v>
      </c>
      <c r="AJ11920" s="5" t="s">
        <v>3619</v>
      </c>
      <c r="AK11920" s="5" t="s">
        <v>3627</v>
      </c>
    </row>
    <row r="11921" spans="35:37">
      <c r="AI11921" s="468">
        <v>54293</v>
      </c>
      <c r="AJ11921" s="5" t="s">
        <v>3621</v>
      </c>
      <c r="AK11921" s="5" t="s">
        <v>3618</v>
      </c>
    </row>
    <row r="11922" spans="35:37">
      <c r="AI11922" s="468">
        <v>54294</v>
      </c>
      <c r="AJ11922" s="5" t="s">
        <v>3579</v>
      </c>
      <c r="AK11922" s="5" t="s">
        <v>3620</v>
      </c>
    </row>
    <row r="11923" spans="35:37">
      <c r="AI11923" s="468">
        <v>54295</v>
      </c>
      <c r="AJ11923" s="5" t="s">
        <v>3624</v>
      </c>
      <c r="AK11923" s="5" t="s">
        <v>3622</v>
      </c>
    </row>
    <row r="11924" spans="35:37">
      <c r="AI11924" s="468">
        <v>54296</v>
      </c>
      <c r="AJ11924" s="5" t="s">
        <v>3626</v>
      </c>
      <c r="AK11924" s="5" t="s">
        <v>3623</v>
      </c>
    </row>
    <row r="11925" spans="35:37">
      <c r="AI11925" s="468">
        <v>54297</v>
      </c>
      <c r="AJ11925" s="5" t="s">
        <v>3628</v>
      </c>
      <c r="AK11925" s="5" t="s">
        <v>3625</v>
      </c>
    </row>
    <row r="11926" spans="35:37">
      <c r="AI11926" s="468">
        <v>54298</v>
      </c>
      <c r="AJ11926" s="5" t="s">
        <v>3617</v>
      </c>
      <c r="AK11926" s="5" t="s">
        <v>3627</v>
      </c>
    </row>
    <row r="11927" spans="35:37">
      <c r="AI11927" s="468">
        <v>54299</v>
      </c>
      <c r="AJ11927" s="5" t="s">
        <v>3619</v>
      </c>
      <c r="AK11927" s="5" t="s">
        <v>3618</v>
      </c>
    </row>
    <row r="11928" spans="35:37">
      <c r="AI11928" s="468">
        <v>54300</v>
      </c>
      <c r="AJ11928" s="5" t="s">
        <v>3621</v>
      </c>
      <c r="AK11928" s="5" t="s">
        <v>3620</v>
      </c>
    </row>
    <row r="11929" spans="35:37">
      <c r="AI11929" s="468">
        <v>54301</v>
      </c>
      <c r="AJ11929" s="5" t="s">
        <v>3579</v>
      </c>
      <c r="AK11929" s="5" t="s">
        <v>3622</v>
      </c>
    </row>
    <row r="11930" spans="35:37">
      <c r="AI11930" s="468">
        <v>54302</v>
      </c>
      <c r="AJ11930" s="5" t="s">
        <v>3624</v>
      </c>
      <c r="AK11930" s="5" t="s">
        <v>3623</v>
      </c>
    </row>
    <row r="11931" spans="35:37">
      <c r="AI11931" s="468">
        <v>54303</v>
      </c>
      <c r="AJ11931" s="5" t="s">
        <v>3626</v>
      </c>
      <c r="AK11931" s="5" t="s">
        <v>3625</v>
      </c>
    </row>
    <row r="11932" spans="35:37">
      <c r="AI11932" s="468">
        <v>54304</v>
      </c>
      <c r="AJ11932" s="5" t="s">
        <v>3628</v>
      </c>
      <c r="AK11932" s="5" t="s">
        <v>3627</v>
      </c>
    </row>
    <row r="11933" spans="35:37">
      <c r="AI11933" s="468">
        <v>54305</v>
      </c>
      <c r="AJ11933" s="5" t="s">
        <v>3617</v>
      </c>
      <c r="AK11933" s="5" t="s">
        <v>3618</v>
      </c>
    </row>
    <row r="11934" spans="35:37">
      <c r="AI11934" s="468">
        <v>54306</v>
      </c>
      <c r="AJ11934" s="5" t="s">
        <v>3619</v>
      </c>
      <c r="AK11934" s="5" t="s">
        <v>3620</v>
      </c>
    </row>
    <row r="11935" spans="35:37">
      <c r="AI11935" s="468">
        <v>54307</v>
      </c>
      <c r="AJ11935" s="5" t="s">
        <v>3621</v>
      </c>
      <c r="AK11935" s="5" t="s">
        <v>3622</v>
      </c>
    </row>
    <row r="11936" spans="35:37">
      <c r="AI11936" s="468">
        <v>54308</v>
      </c>
      <c r="AJ11936" s="5" t="s">
        <v>3579</v>
      </c>
      <c r="AK11936" s="5" t="s">
        <v>3623</v>
      </c>
    </row>
    <row r="11937" spans="35:37">
      <c r="AI11937" s="468">
        <v>54309</v>
      </c>
      <c r="AJ11937" s="5" t="s">
        <v>3624</v>
      </c>
      <c r="AK11937" s="5" t="s">
        <v>3618</v>
      </c>
    </row>
    <row r="11938" spans="35:37">
      <c r="AI11938" s="468">
        <v>54310</v>
      </c>
      <c r="AJ11938" s="5" t="s">
        <v>3626</v>
      </c>
      <c r="AK11938" s="5" t="s">
        <v>3620</v>
      </c>
    </row>
    <row r="11939" spans="35:37">
      <c r="AI11939" s="468">
        <v>54311</v>
      </c>
      <c r="AJ11939" s="5" t="s">
        <v>3628</v>
      </c>
      <c r="AK11939" s="5" t="s">
        <v>3622</v>
      </c>
    </row>
    <row r="11940" spans="35:37">
      <c r="AI11940" s="468">
        <v>54312</v>
      </c>
      <c r="AJ11940" s="5" t="s">
        <v>3617</v>
      </c>
      <c r="AK11940" s="5" t="s">
        <v>3623</v>
      </c>
    </row>
    <row r="11941" spans="35:37">
      <c r="AI11941" s="468">
        <v>54313</v>
      </c>
      <c r="AJ11941" s="5" t="s">
        <v>3619</v>
      </c>
      <c r="AK11941" s="5" t="s">
        <v>3625</v>
      </c>
    </row>
    <row r="11942" spans="35:37">
      <c r="AI11942" s="468">
        <v>54314</v>
      </c>
      <c r="AJ11942" s="5" t="s">
        <v>3621</v>
      </c>
      <c r="AK11942" s="5" t="s">
        <v>3627</v>
      </c>
    </row>
    <row r="11943" spans="35:37">
      <c r="AI11943" s="468">
        <v>54315</v>
      </c>
      <c r="AJ11943" s="5" t="s">
        <v>3579</v>
      </c>
      <c r="AK11943" s="5" t="s">
        <v>3618</v>
      </c>
    </row>
    <row r="11944" spans="35:37">
      <c r="AI11944" s="468">
        <v>54316</v>
      </c>
      <c r="AJ11944" s="5" t="s">
        <v>3624</v>
      </c>
      <c r="AK11944" s="5" t="s">
        <v>3620</v>
      </c>
    </row>
    <row r="11945" spans="35:37">
      <c r="AI11945" s="468">
        <v>54317</v>
      </c>
      <c r="AJ11945" s="5" t="s">
        <v>3626</v>
      </c>
      <c r="AK11945" s="5" t="s">
        <v>3622</v>
      </c>
    </row>
    <row r="11946" spans="35:37">
      <c r="AI11946" s="468">
        <v>54318</v>
      </c>
      <c r="AJ11946" s="5" t="s">
        <v>3628</v>
      </c>
      <c r="AK11946" s="5" t="s">
        <v>3623</v>
      </c>
    </row>
    <row r="11947" spans="35:37">
      <c r="AI11947" s="468">
        <v>54319</v>
      </c>
      <c r="AJ11947" s="5" t="s">
        <v>3617</v>
      </c>
      <c r="AK11947" s="5" t="s">
        <v>3625</v>
      </c>
    </row>
    <row r="11948" spans="35:37">
      <c r="AI11948" s="468">
        <v>54320</v>
      </c>
      <c r="AJ11948" s="5" t="s">
        <v>3619</v>
      </c>
      <c r="AK11948" s="5" t="s">
        <v>3627</v>
      </c>
    </row>
    <row r="11949" spans="35:37">
      <c r="AI11949" s="468">
        <v>54321</v>
      </c>
      <c r="AJ11949" s="5" t="s">
        <v>3621</v>
      </c>
      <c r="AK11949" s="5" t="s">
        <v>3618</v>
      </c>
    </row>
    <row r="11950" spans="35:37">
      <c r="AI11950" s="468">
        <v>54322</v>
      </c>
      <c r="AJ11950" s="5" t="s">
        <v>3579</v>
      </c>
      <c r="AK11950" s="5" t="s">
        <v>3620</v>
      </c>
    </row>
    <row r="11951" spans="35:37">
      <c r="AI11951" s="468">
        <v>54323</v>
      </c>
      <c r="AJ11951" s="5" t="s">
        <v>3624</v>
      </c>
      <c r="AK11951" s="5" t="s">
        <v>3622</v>
      </c>
    </row>
    <row r="11952" spans="35:37">
      <c r="AI11952" s="468">
        <v>54324</v>
      </c>
      <c r="AJ11952" s="5" t="s">
        <v>3626</v>
      </c>
      <c r="AK11952" s="5" t="s">
        <v>3623</v>
      </c>
    </row>
    <row r="11953" spans="35:37">
      <c r="AI11953" s="468">
        <v>54325</v>
      </c>
      <c r="AJ11953" s="5" t="s">
        <v>3628</v>
      </c>
      <c r="AK11953" s="5" t="s">
        <v>3625</v>
      </c>
    </row>
    <row r="11954" spans="35:37">
      <c r="AI11954" s="468">
        <v>54326</v>
      </c>
      <c r="AJ11954" s="5" t="s">
        <v>3617</v>
      </c>
      <c r="AK11954" s="5" t="s">
        <v>3627</v>
      </c>
    </row>
    <row r="11955" spans="35:37">
      <c r="AI11955" s="468">
        <v>54327</v>
      </c>
      <c r="AJ11955" s="5" t="s">
        <v>3619</v>
      </c>
      <c r="AK11955" s="5" t="s">
        <v>3618</v>
      </c>
    </row>
    <row r="11956" spans="35:37">
      <c r="AI11956" s="468">
        <v>54328</v>
      </c>
      <c r="AJ11956" s="5" t="s">
        <v>3621</v>
      </c>
      <c r="AK11956" s="5" t="s">
        <v>3620</v>
      </c>
    </row>
    <row r="11957" spans="35:37">
      <c r="AI11957" s="468">
        <v>54329</v>
      </c>
      <c r="AJ11957" s="5" t="s">
        <v>3579</v>
      </c>
      <c r="AK11957" s="5" t="s">
        <v>3622</v>
      </c>
    </row>
    <row r="11958" spans="35:37">
      <c r="AI11958" s="468">
        <v>54330</v>
      </c>
      <c r="AJ11958" s="5" t="s">
        <v>3624</v>
      </c>
      <c r="AK11958" s="5" t="s">
        <v>3623</v>
      </c>
    </row>
    <row r="11959" spans="35:37">
      <c r="AI11959" s="468">
        <v>54331</v>
      </c>
      <c r="AJ11959" s="5" t="s">
        <v>3626</v>
      </c>
      <c r="AK11959" s="5" t="s">
        <v>3625</v>
      </c>
    </row>
    <row r="11960" spans="35:37">
      <c r="AI11960" s="468">
        <v>54332</v>
      </c>
      <c r="AJ11960" s="5" t="s">
        <v>3628</v>
      </c>
      <c r="AK11960" s="5" t="s">
        <v>3627</v>
      </c>
    </row>
    <row r="11961" spans="35:37">
      <c r="AI11961" s="468">
        <v>54333</v>
      </c>
      <c r="AJ11961" s="5" t="s">
        <v>3617</v>
      </c>
      <c r="AK11961" s="5" t="s">
        <v>3618</v>
      </c>
    </row>
    <row r="11962" spans="35:37">
      <c r="AI11962" s="468">
        <v>54334</v>
      </c>
      <c r="AJ11962" s="5" t="s">
        <v>3619</v>
      </c>
      <c r="AK11962" s="5" t="s">
        <v>3620</v>
      </c>
    </row>
    <row r="11963" spans="35:37">
      <c r="AI11963" s="468">
        <v>54335</v>
      </c>
      <c r="AJ11963" s="5" t="s">
        <v>3621</v>
      </c>
      <c r="AK11963" s="5" t="s">
        <v>3622</v>
      </c>
    </row>
    <row r="11964" spans="35:37">
      <c r="AI11964" s="468">
        <v>54336</v>
      </c>
      <c r="AJ11964" s="5" t="s">
        <v>3579</v>
      </c>
      <c r="AK11964" s="5" t="s">
        <v>3623</v>
      </c>
    </row>
    <row r="11965" spans="35:37">
      <c r="AI11965" s="468">
        <v>54337</v>
      </c>
      <c r="AJ11965" s="5" t="s">
        <v>3624</v>
      </c>
      <c r="AK11965" s="5" t="s">
        <v>3625</v>
      </c>
    </row>
    <row r="11966" spans="35:37">
      <c r="AI11966" s="468">
        <v>54338</v>
      </c>
      <c r="AJ11966" s="5" t="s">
        <v>3626</v>
      </c>
      <c r="AK11966" s="5" t="s">
        <v>3627</v>
      </c>
    </row>
    <row r="11967" spans="35:37">
      <c r="AI11967" s="468">
        <v>54339</v>
      </c>
      <c r="AJ11967" s="5" t="s">
        <v>3628</v>
      </c>
      <c r="AK11967" s="5" t="s">
        <v>3620</v>
      </c>
    </row>
    <row r="11968" spans="35:37">
      <c r="AI11968" s="468">
        <v>54340</v>
      </c>
      <c r="AJ11968" s="5" t="s">
        <v>3617</v>
      </c>
      <c r="AK11968" s="5" t="s">
        <v>3622</v>
      </c>
    </row>
    <row r="11969" spans="35:37">
      <c r="AI11969" s="468">
        <v>54341</v>
      </c>
      <c r="AJ11969" s="5" t="s">
        <v>3619</v>
      </c>
      <c r="AK11969" s="5" t="s">
        <v>3623</v>
      </c>
    </row>
    <row r="11970" spans="35:37">
      <c r="AI11970" s="468">
        <v>54342</v>
      </c>
      <c r="AJ11970" s="5" t="s">
        <v>3621</v>
      </c>
      <c r="AK11970" s="5" t="s">
        <v>3625</v>
      </c>
    </row>
    <row r="11971" spans="35:37">
      <c r="AI11971" s="468">
        <v>54343</v>
      </c>
      <c r="AJ11971" s="5" t="s">
        <v>3579</v>
      </c>
      <c r="AK11971" s="5" t="s">
        <v>3627</v>
      </c>
    </row>
    <row r="11972" spans="35:37">
      <c r="AI11972" s="468">
        <v>54344</v>
      </c>
      <c r="AJ11972" s="5" t="s">
        <v>3624</v>
      </c>
      <c r="AK11972" s="5" t="s">
        <v>3618</v>
      </c>
    </row>
    <row r="11973" spans="35:37">
      <c r="AI11973" s="468">
        <v>54345</v>
      </c>
      <c r="AJ11973" s="5" t="s">
        <v>3626</v>
      </c>
      <c r="AK11973" s="5" t="s">
        <v>3620</v>
      </c>
    </row>
    <row r="11974" spans="35:37">
      <c r="AI11974" s="468">
        <v>54346</v>
      </c>
      <c r="AJ11974" s="5" t="s">
        <v>3628</v>
      </c>
      <c r="AK11974" s="5" t="s">
        <v>3622</v>
      </c>
    </row>
    <row r="11975" spans="35:37">
      <c r="AI11975" s="468">
        <v>54347</v>
      </c>
      <c r="AJ11975" s="5" t="s">
        <v>3617</v>
      </c>
      <c r="AK11975" s="5" t="s">
        <v>3623</v>
      </c>
    </row>
    <row r="11976" spans="35:37">
      <c r="AI11976" s="468">
        <v>54348</v>
      </c>
      <c r="AJ11976" s="5" t="s">
        <v>3619</v>
      </c>
      <c r="AK11976" s="5" t="s">
        <v>3625</v>
      </c>
    </row>
    <row r="11977" spans="35:37">
      <c r="AI11977" s="468">
        <v>54349</v>
      </c>
      <c r="AJ11977" s="5" t="s">
        <v>3621</v>
      </c>
      <c r="AK11977" s="5" t="s">
        <v>3627</v>
      </c>
    </row>
    <row r="11978" spans="35:37">
      <c r="AI11978" s="468">
        <v>54350</v>
      </c>
      <c r="AJ11978" s="5" t="s">
        <v>3579</v>
      </c>
      <c r="AK11978" s="5" t="s">
        <v>3618</v>
      </c>
    </row>
    <row r="11979" spans="35:37">
      <c r="AI11979" s="468">
        <v>54351</v>
      </c>
      <c r="AJ11979" s="5" t="s">
        <v>3624</v>
      </c>
      <c r="AK11979" s="5" t="s">
        <v>3620</v>
      </c>
    </row>
    <row r="11980" spans="35:37">
      <c r="AI11980" s="468">
        <v>54352</v>
      </c>
      <c r="AJ11980" s="5" t="s">
        <v>3626</v>
      </c>
      <c r="AK11980" s="5" t="s">
        <v>3622</v>
      </c>
    </row>
    <row r="11981" spans="35:37">
      <c r="AI11981" s="468">
        <v>54353</v>
      </c>
      <c r="AJ11981" s="5" t="s">
        <v>3628</v>
      </c>
      <c r="AK11981" s="5" t="s">
        <v>3623</v>
      </c>
    </row>
    <row r="11982" spans="35:37">
      <c r="AI11982" s="468">
        <v>54354</v>
      </c>
      <c r="AJ11982" s="5" t="s">
        <v>3617</v>
      </c>
      <c r="AK11982" s="5" t="s">
        <v>3625</v>
      </c>
    </row>
    <row r="11983" spans="35:37">
      <c r="AI11983" s="468">
        <v>54355</v>
      </c>
      <c r="AJ11983" s="5" t="s">
        <v>3619</v>
      </c>
      <c r="AK11983" s="5" t="s">
        <v>3627</v>
      </c>
    </row>
    <row r="11984" spans="35:37">
      <c r="AI11984" s="468">
        <v>54356</v>
      </c>
      <c r="AJ11984" s="5" t="s">
        <v>3621</v>
      </c>
      <c r="AK11984" s="5" t="s">
        <v>3618</v>
      </c>
    </row>
    <row r="11985" spans="35:37">
      <c r="AI11985" s="468">
        <v>54357</v>
      </c>
      <c r="AJ11985" s="5" t="s">
        <v>3579</v>
      </c>
      <c r="AK11985" s="5" t="s">
        <v>3620</v>
      </c>
    </row>
    <row r="11986" spans="35:37">
      <c r="AI11986" s="468">
        <v>54358</v>
      </c>
      <c r="AJ11986" s="5" t="s">
        <v>3624</v>
      </c>
      <c r="AK11986" s="5" t="s">
        <v>3622</v>
      </c>
    </row>
    <row r="11987" spans="35:37">
      <c r="AI11987" s="468">
        <v>54359</v>
      </c>
      <c r="AJ11987" s="5" t="s">
        <v>3626</v>
      </c>
      <c r="AK11987" s="5" t="s">
        <v>3623</v>
      </c>
    </row>
    <row r="11988" spans="35:37">
      <c r="AI11988" s="468">
        <v>54360</v>
      </c>
      <c r="AJ11988" s="5" t="s">
        <v>3628</v>
      </c>
      <c r="AK11988" s="5" t="s">
        <v>3625</v>
      </c>
    </row>
    <row r="11989" spans="35:37">
      <c r="AI11989" s="468">
        <v>54361</v>
      </c>
      <c r="AJ11989" s="5" t="s">
        <v>3617</v>
      </c>
      <c r="AK11989" s="5" t="s">
        <v>3627</v>
      </c>
    </row>
    <row r="11990" spans="35:37">
      <c r="AI11990" s="468">
        <v>54362</v>
      </c>
      <c r="AJ11990" s="5" t="s">
        <v>3619</v>
      </c>
      <c r="AK11990" s="5" t="s">
        <v>3618</v>
      </c>
    </row>
    <row r="11991" spans="35:37">
      <c r="AI11991" s="468">
        <v>54363</v>
      </c>
      <c r="AJ11991" s="5" t="s">
        <v>3621</v>
      </c>
      <c r="AK11991" s="5" t="s">
        <v>3620</v>
      </c>
    </row>
    <row r="11992" spans="35:37">
      <c r="AI11992" s="468">
        <v>54364</v>
      </c>
      <c r="AJ11992" s="5" t="s">
        <v>3579</v>
      </c>
      <c r="AK11992" s="5" t="s">
        <v>3622</v>
      </c>
    </row>
    <row r="11993" spans="35:37">
      <c r="AI11993" s="468">
        <v>54365</v>
      </c>
      <c r="AJ11993" s="5" t="s">
        <v>3624</v>
      </c>
      <c r="AK11993" s="5" t="s">
        <v>3623</v>
      </c>
    </row>
    <row r="11994" spans="35:37">
      <c r="AI11994" s="468">
        <v>54366</v>
      </c>
      <c r="AJ11994" s="5" t="s">
        <v>3626</v>
      </c>
      <c r="AK11994" s="5" t="s">
        <v>3625</v>
      </c>
    </row>
    <row r="11995" spans="35:37">
      <c r="AI11995" s="468">
        <v>54367</v>
      </c>
      <c r="AJ11995" s="5" t="s">
        <v>3628</v>
      </c>
      <c r="AK11995" s="5" t="s">
        <v>3627</v>
      </c>
    </row>
    <row r="11996" spans="35:37">
      <c r="AI11996" s="468">
        <v>54368</v>
      </c>
      <c r="AJ11996" s="5" t="s">
        <v>3617</v>
      </c>
      <c r="AK11996" s="5" t="s">
        <v>3622</v>
      </c>
    </row>
    <row r="11997" spans="35:37">
      <c r="AI11997" s="468">
        <v>54369</v>
      </c>
      <c r="AJ11997" s="5" t="s">
        <v>3619</v>
      </c>
      <c r="AK11997" s="5" t="s">
        <v>3623</v>
      </c>
    </row>
    <row r="11998" spans="35:37">
      <c r="AI11998" s="468">
        <v>54370</v>
      </c>
      <c r="AJ11998" s="5" t="s">
        <v>3621</v>
      </c>
      <c r="AK11998" s="5" t="s">
        <v>3625</v>
      </c>
    </row>
    <row r="11999" spans="35:37">
      <c r="AI11999" s="468">
        <v>54371</v>
      </c>
      <c r="AJ11999" s="5" t="s">
        <v>3579</v>
      </c>
      <c r="AK11999" s="5" t="s">
        <v>3627</v>
      </c>
    </row>
    <row r="12000" spans="35:37">
      <c r="AI12000" s="468">
        <v>54372</v>
      </c>
      <c r="AJ12000" s="5" t="s">
        <v>3624</v>
      </c>
      <c r="AK12000" s="5" t="s">
        <v>3618</v>
      </c>
    </row>
    <row r="12001" spans="35:37">
      <c r="AI12001" s="468">
        <v>54373</v>
      </c>
      <c r="AJ12001" s="5" t="s">
        <v>3626</v>
      </c>
      <c r="AK12001" s="5" t="s">
        <v>3620</v>
      </c>
    </row>
    <row r="12002" spans="35:37">
      <c r="AI12002" s="468">
        <v>54374</v>
      </c>
      <c r="AJ12002" s="5" t="s">
        <v>3628</v>
      </c>
      <c r="AK12002" s="5" t="s">
        <v>3622</v>
      </c>
    </row>
    <row r="12003" spans="35:37">
      <c r="AI12003" s="468">
        <v>54375</v>
      </c>
      <c r="AJ12003" s="5" t="s">
        <v>3617</v>
      </c>
      <c r="AK12003" s="5" t="s">
        <v>3623</v>
      </c>
    </row>
    <row r="12004" spans="35:37">
      <c r="AI12004" s="468">
        <v>54376</v>
      </c>
      <c r="AJ12004" s="5" t="s">
        <v>3619</v>
      </c>
      <c r="AK12004" s="5" t="s">
        <v>3625</v>
      </c>
    </row>
    <row r="12005" spans="35:37">
      <c r="AI12005" s="468">
        <v>54377</v>
      </c>
      <c r="AJ12005" s="5" t="s">
        <v>3621</v>
      </c>
      <c r="AK12005" s="5" t="s">
        <v>3627</v>
      </c>
    </row>
    <row r="12006" spans="35:37">
      <c r="AI12006" s="468">
        <v>54378</v>
      </c>
      <c r="AJ12006" s="5" t="s">
        <v>3579</v>
      </c>
      <c r="AK12006" s="5" t="s">
        <v>3618</v>
      </c>
    </row>
    <row r="12007" spans="35:37">
      <c r="AI12007" s="468">
        <v>54379</v>
      </c>
      <c r="AJ12007" s="5" t="s">
        <v>3624</v>
      </c>
      <c r="AK12007" s="5" t="s">
        <v>3620</v>
      </c>
    </row>
    <row r="12008" spans="35:37">
      <c r="AI12008" s="468">
        <v>54380</v>
      </c>
      <c r="AJ12008" s="5" t="s">
        <v>3626</v>
      </c>
      <c r="AK12008" s="5" t="s">
        <v>3622</v>
      </c>
    </row>
    <row r="12009" spans="35:37">
      <c r="AI12009" s="468">
        <v>54381</v>
      </c>
      <c r="AJ12009" s="5" t="s">
        <v>3628</v>
      </c>
      <c r="AK12009" s="5" t="s">
        <v>3623</v>
      </c>
    </row>
    <row r="12010" spans="35:37">
      <c r="AI12010" s="468">
        <v>54382</v>
      </c>
      <c r="AJ12010" s="5" t="s">
        <v>3617</v>
      </c>
      <c r="AK12010" s="5" t="s">
        <v>3625</v>
      </c>
    </row>
    <row r="12011" spans="35:37">
      <c r="AI12011" s="468">
        <v>54383</v>
      </c>
      <c r="AJ12011" s="5" t="s">
        <v>3619</v>
      </c>
      <c r="AK12011" s="5" t="s">
        <v>3627</v>
      </c>
    </row>
    <row r="12012" spans="35:37">
      <c r="AI12012" s="468">
        <v>54384</v>
      </c>
      <c r="AJ12012" s="5" t="s">
        <v>3621</v>
      </c>
      <c r="AK12012" s="5" t="s">
        <v>3618</v>
      </c>
    </row>
    <row r="12013" spans="35:37">
      <c r="AI12013" s="468">
        <v>54385</v>
      </c>
      <c r="AJ12013" s="5" t="s">
        <v>3579</v>
      </c>
      <c r="AK12013" s="5" t="s">
        <v>3620</v>
      </c>
    </row>
    <row r="12014" spans="35:37">
      <c r="AI12014" s="468">
        <v>54386</v>
      </c>
      <c r="AJ12014" s="5" t="s">
        <v>3624</v>
      </c>
      <c r="AK12014" s="5" t="s">
        <v>3622</v>
      </c>
    </row>
    <row r="12015" spans="35:37">
      <c r="AI12015" s="468">
        <v>54387</v>
      </c>
      <c r="AJ12015" s="5" t="s">
        <v>3626</v>
      </c>
      <c r="AK12015" s="5" t="s">
        <v>3623</v>
      </c>
    </row>
    <row r="12016" spans="35:37">
      <c r="AI12016" s="468">
        <v>54388</v>
      </c>
      <c r="AJ12016" s="5" t="s">
        <v>3628</v>
      </c>
      <c r="AK12016" s="5" t="s">
        <v>3625</v>
      </c>
    </row>
    <row r="12017" spans="35:37">
      <c r="AI12017" s="468">
        <v>54389</v>
      </c>
      <c r="AJ12017" s="5" t="s">
        <v>3617</v>
      </c>
      <c r="AK12017" s="5" t="s">
        <v>3627</v>
      </c>
    </row>
    <row r="12018" spans="35:37">
      <c r="AI12018" s="468">
        <v>54390</v>
      </c>
      <c r="AJ12018" s="5" t="s">
        <v>3619</v>
      </c>
      <c r="AK12018" s="5" t="s">
        <v>3618</v>
      </c>
    </row>
    <row r="12019" spans="35:37">
      <c r="AI12019" s="468">
        <v>54391</v>
      </c>
      <c r="AJ12019" s="5" t="s">
        <v>3621</v>
      </c>
      <c r="AK12019" s="5" t="s">
        <v>3620</v>
      </c>
    </row>
    <row r="12020" spans="35:37">
      <c r="AI12020" s="468">
        <v>54392</v>
      </c>
      <c r="AJ12020" s="5" t="s">
        <v>3579</v>
      </c>
      <c r="AK12020" s="5" t="s">
        <v>3622</v>
      </c>
    </row>
    <row r="12021" spans="35:37">
      <c r="AI12021" s="468">
        <v>54393</v>
      </c>
      <c r="AJ12021" s="5" t="s">
        <v>3624</v>
      </c>
      <c r="AK12021" s="5" t="s">
        <v>3623</v>
      </c>
    </row>
    <row r="12022" spans="35:37">
      <c r="AI12022" s="468">
        <v>54394</v>
      </c>
      <c r="AJ12022" s="5" t="s">
        <v>3626</v>
      </c>
      <c r="AK12022" s="5" t="s">
        <v>3625</v>
      </c>
    </row>
    <row r="12023" spans="35:37">
      <c r="AI12023" s="468">
        <v>54395</v>
      </c>
      <c r="AJ12023" s="5" t="s">
        <v>3628</v>
      </c>
      <c r="AK12023" s="5" t="s">
        <v>3627</v>
      </c>
    </row>
    <row r="12024" spans="35:37">
      <c r="AI12024" s="468">
        <v>54396</v>
      </c>
      <c r="AJ12024" s="5" t="s">
        <v>3617</v>
      </c>
      <c r="AK12024" s="5" t="s">
        <v>3618</v>
      </c>
    </row>
    <row r="12025" spans="35:37">
      <c r="AI12025" s="468">
        <v>54397</v>
      </c>
      <c r="AJ12025" s="5" t="s">
        <v>3619</v>
      </c>
      <c r="AK12025" s="5" t="s">
        <v>3620</v>
      </c>
    </row>
    <row r="12026" spans="35:37">
      <c r="AI12026" s="468">
        <v>54398</v>
      </c>
      <c r="AJ12026" s="5" t="s">
        <v>3621</v>
      </c>
      <c r="AK12026" s="5" t="s">
        <v>3623</v>
      </c>
    </row>
    <row r="12027" spans="35:37">
      <c r="AI12027" s="468">
        <v>54399</v>
      </c>
      <c r="AJ12027" s="5" t="s">
        <v>3579</v>
      </c>
      <c r="AK12027" s="5" t="s">
        <v>3625</v>
      </c>
    </row>
    <row r="12028" spans="35:37">
      <c r="AI12028" s="468">
        <v>54400</v>
      </c>
      <c r="AJ12028" s="5" t="s">
        <v>3624</v>
      </c>
      <c r="AK12028" s="5" t="s">
        <v>3627</v>
      </c>
    </row>
    <row r="12029" spans="35:37">
      <c r="AI12029" s="468">
        <v>54401</v>
      </c>
      <c r="AJ12029" s="5" t="s">
        <v>3626</v>
      </c>
      <c r="AK12029" s="5" t="s">
        <v>3618</v>
      </c>
    </row>
    <row r="12030" spans="35:37">
      <c r="AI12030" s="468">
        <v>54402</v>
      </c>
      <c r="AJ12030" s="5" t="s">
        <v>3628</v>
      </c>
      <c r="AK12030" s="5" t="s">
        <v>3620</v>
      </c>
    </row>
    <row r="12031" spans="35:37">
      <c r="AI12031" s="468">
        <v>54403</v>
      </c>
      <c r="AJ12031" s="5" t="s">
        <v>3617</v>
      </c>
      <c r="AK12031" s="5" t="s">
        <v>3622</v>
      </c>
    </row>
    <row r="12032" spans="35:37">
      <c r="AI12032" s="468">
        <v>54404</v>
      </c>
      <c r="AJ12032" s="5" t="s">
        <v>3619</v>
      </c>
      <c r="AK12032" s="5" t="s">
        <v>3623</v>
      </c>
    </row>
    <row r="12033" spans="35:37">
      <c r="AI12033" s="468">
        <v>54405</v>
      </c>
      <c r="AJ12033" s="5" t="s">
        <v>3621</v>
      </c>
      <c r="AK12033" s="5" t="s">
        <v>3625</v>
      </c>
    </row>
    <row r="12034" spans="35:37">
      <c r="AI12034" s="468">
        <v>54406</v>
      </c>
      <c r="AJ12034" s="5" t="s">
        <v>3579</v>
      </c>
      <c r="AK12034" s="5" t="s">
        <v>3627</v>
      </c>
    </row>
    <row r="12035" spans="35:37">
      <c r="AI12035" s="468">
        <v>54407</v>
      </c>
      <c r="AJ12035" s="5" t="s">
        <v>3624</v>
      </c>
      <c r="AK12035" s="5" t="s">
        <v>3618</v>
      </c>
    </row>
    <row r="12036" spans="35:37">
      <c r="AI12036" s="468">
        <v>54408</v>
      </c>
      <c r="AJ12036" s="5" t="s">
        <v>3626</v>
      </c>
      <c r="AK12036" s="5" t="s">
        <v>3620</v>
      </c>
    </row>
    <row r="12037" spans="35:37">
      <c r="AI12037" s="468">
        <v>54409</v>
      </c>
      <c r="AJ12037" s="5" t="s">
        <v>3628</v>
      </c>
      <c r="AK12037" s="5" t="s">
        <v>3622</v>
      </c>
    </row>
    <row r="12038" spans="35:37">
      <c r="AI12038" s="468">
        <v>54410</v>
      </c>
      <c r="AJ12038" s="5" t="s">
        <v>3617</v>
      </c>
      <c r="AK12038" s="5" t="s">
        <v>3623</v>
      </c>
    </row>
    <row r="12039" spans="35:37">
      <c r="AI12039" s="468">
        <v>54411</v>
      </c>
      <c r="AJ12039" s="5" t="s">
        <v>3619</v>
      </c>
      <c r="AK12039" s="5" t="s">
        <v>3625</v>
      </c>
    </row>
    <row r="12040" spans="35:37">
      <c r="AI12040" s="468">
        <v>54412</v>
      </c>
      <c r="AJ12040" s="5" t="s">
        <v>3621</v>
      </c>
      <c r="AK12040" s="5" t="s">
        <v>3627</v>
      </c>
    </row>
    <row r="12041" spans="35:37">
      <c r="AI12041" s="468">
        <v>54413</v>
      </c>
      <c r="AJ12041" s="5" t="s">
        <v>3579</v>
      </c>
      <c r="AK12041" s="5" t="s">
        <v>3618</v>
      </c>
    </row>
    <row r="12042" spans="35:37">
      <c r="AI12042" s="468">
        <v>54414</v>
      </c>
      <c r="AJ12042" s="5" t="s">
        <v>3624</v>
      </c>
      <c r="AK12042" s="5" t="s">
        <v>3620</v>
      </c>
    </row>
    <row r="12043" spans="35:37">
      <c r="AI12043" s="468">
        <v>54415</v>
      </c>
      <c r="AJ12043" s="5" t="s">
        <v>3626</v>
      </c>
      <c r="AK12043" s="5" t="s">
        <v>3622</v>
      </c>
    </row>
    <row r="12044" spans="35:37">
      <c r="AI12044" s="468">
        <v>54416</v>
      </c>
      <c r="AJ12044" s="5" t="s">
        <v>3628</v>
      </c>
      <c r="AK12044" s="5" t="s">
        <v>3623</v>
      </c>
    </row>
    <row r="12045" spans="35:37">
      <c r="AI12045" s="468">
        <v>54417</v>
      </c>
      <c r="AJ12045" s="5" t="s">
        <v>3617</v>
      </c>
      <c r="AK12045" s="5" t="s">
        <v>3625</v>
      </c>
    </row>
    <row r="12046" spans="35:37">
      <c r="AI12046" s="468">
        <v>54418</v>
      </c>
      <c r="AJ12046" s="5" t="s">
        <v>3619</v>
      </c>
      <c r="AK12046" s="5" t="s">
        <v>3627</v>
      </c>
    </row>
    <row r="12047" spans="35:37">
      <c r="AI12047" s="468">
        <v>54419</v>
      </c>
      <c r="AJ12047" s="5" t="s">
        <v>3621</v>
      </c>
      <c r="AK12047" s="5" t="s">
        <v>3618</v>
      </c>
    </row>
    <row r="12048" spans="35:37">
      <c r="AI12048" s="468">
        <v>54420</v>
      </c>
      <c r="AJ12048" s="5" t="s">
        <v>3579</v>
      </c>
      <c r="AK12048" s="5" t="s">
        <v>3620</v>
      </c>
    </row>
    <row r="12049" spans="35:37">
      <c r="AI12049" s="468">
        <v>54421</v>
      </c>
      <c r="AJ12049" s="5" t="s">
        <v>3624</v>
      </c>
      <c r="AK12049" s="5" t="s">
        <v>3622</v>
      </c>
    </row>
    <row r="12050" spans="35:37">
      <c r="AI12050" s="468">
        <v>54422</v>
      </c>
      <c r="AJ12050" s="5" t="s">
        <v>3626</v>
      </c>
      <c r="AK12050" s="5" t="s">
        <v>3623</v>
      </c>
    </row>
    <row r="12051" spans="35:37">
      <c r="AI12051" s="468">
        <v>54423</v>
      </c>
      <c r="AJ12051" s="5" t="s">
        <v>3628</v>
      </c>
      <c r="AK12051" s="5" t="s">
        <v>3625</v>
      </c>
    </row>
    <row r="12052" spans="35:37">
      <c r="AI12052" s="468">
        <v>54424</v>
      </c>
      <c r="AJ12052" s="5" t="s">
        <v>3617</v>
      </c>
      <c r="AK12052" s="5" t="s">
        <v>3627</v>
      </c>
    </row>
    <row r="12053" spans="35:37">
      <c r="AI12053" s="468">
        <v>54425</v>
      </c>
      <c r="AJ12053" s="5" t="s">
        <v>3619</v>
      </c>
      <c r="AK12053" s="5" t="s">
        <v>3618</v>
      </c>
    </row>
    <row r="12054" spans="35:37">
      <c r="AI12054" s="468">
        <v>54426</v>
      </c>
      <c r="AJ12054" s="5" t="s">
        <v>3621</v>
      </c>
      <c r="AK12054" s="5" t="s">
        <v>3620</v>
      </c>
    </row>
    <row r="12055" spans="35:37">
      <c r="AI12055" s="468">
        <v>54427</v>
      </c>
      <c r="AJ12055" s="5" t="s">
        <v>3579</v>
      </c>
      <c r="AK12055" s="5" t="s">
        <v>3625</v>
      </c>
    </row>
    <row r="12056" spans="35:37">
      <c r="AI12056" s="468">
        <v>54428</v>
      </c>
      <c r="AJ12056" s="5" t="s">
        <v>3624</v>
      </c>
      <c r="AK12056" s="5" t="s">
        <v>3627</v>
      </c>
    </row>
    <row r="12057" spans="35:37">
      <c r="AI12057" s="468">
        <v>54429</v>
      </c>
      <c r="AJ12057" s="5" t="s">
        <v>3626</v>
      </c>
      <c r="AK12057" s="5" t="s">
        <v>3618</v>
      </c>
    </row>
    <row r="12058" spans="35:37">
      <c r="AI12058" s="468">
        <v>54430</v>
      </c>
      <c r="AJ12058" s="5" t="s">
        <v>3628</v>
      </c>
      <c r="AK12058" s="5" t="s">
        <v>3620</v>
      </c>
    </row>
    <row r="12059" spans="35:37">
      <c r="AI12059" s="468">
        <v>54431</v>
      </c>
      <c r="AJ12059" s="5" t="s">
        <v>3617</v>
      </c>
      <c r="AK12059" s="5" t="s">
        <v>3622</v>
      </c>
    </row>
    <row r="12060" spans="35:37">
      <c r="AI12060" s="468">
        <v>54432</v>
      </c>
      <c r="AJ12060" s="5" t="s">
        <v>3619</v>
      </c>
      <c r="AK12060" s="5" t="s">
        <v>3623</v>
      </c>
    </row>
    <row r="12061" spans="35:37">
      <c r="AI12061" s="468">
        <v>54433</v>
      </c>
      <c r="AJ12061" s="5" t="s">
        <v>3621</v>
      </c>
      <c r="AK12061" s="5" t="s">
        <v>3625</v>
      </c>
    </row>
    <row r="12062" spans="35:37">
      <c r="AI12062" s="468">
        <v>54434</v>
      </c>
      <c r="AJ12062" s="5" t="s">
        <v>3579</v>
      </c>
      <c r="AK12062" s="5" t="s">
        <v>3627</v>
      </c>
    </row>
    <row r="12063" spans="35:37">
      <c r="AI12063" s="468">
        <v>54435</v>
      </c>
      <c r="AJ12063" s="5" t="s">
        <v>3624</v>
      </c>
      <c r="AK12063" s="5" t="s">
        <v>3618</v>
      </c>
    </row>
    <row r="12064" spans="35:37">
      <c r="AI12064" s="468">
        <v>54436</v>
      </c>
      <c r="AJ12064" s="5" t="s">
        <v>3626</v>
      </c>
      <c r="AK12064" s="5" t="s">
        <v>3620</v>
      </c>
    </row>
    <row r="12065" spans="35:37">
      <c r="AI12065" s="468">
        <v>54437</v>
      </c>
      <c r="AJ12065" s="5" t="s">
        <v>3628</v>
      </c>
      <c r="AK12065" s="5" t="s">
        <v>3622</v>
      </c>
    </row>
    <row r="12066" spans="35:37">
      <c r="AI12066" s="468">
        <v>54438</v>
      </c>
      <c r="AJ12066" s="5" t="s">
        <v>3617</v>
      </c>
      <c r="AK12066" s="5" t="s">
        <v>3623</v>
      </c>
    </row>
    <row r="12067" spans="35:37">
      <c r="AI12067" s="468">
        <v>54439</v>
      </c>
      <c r="AJ12067" s="5" t="s">
        <v>3619</v>
      </c>
      <c r="AK12067" s="5" t="s">
        <v>3625</v>
      </c>
    </row>
    <row r="12068" spans="35:37">
      <c r="AI12068" s="468">
        <v>54440</v>
      </c>
      <c r="AJ12068" s="5" t="s">
        <v>3621</v>
      </c>
      <c r="AK12068" s="5" t="s">
        <v>3627</v>
      </c>
    </row>
    <row r="12069" spans="35:37">
      <c r="AI12069" s="468">
        <v>54441</v>
      </c>
      <c r="AJ12069" s="5" t="s">
        <v>3579</v>
      </c>
      <c r="AK12069" s="5" t="s">
        <v>3618</v>
      </c>
    </row>
    <row r="12070" spans="35:37">
      <c r="AI12070" s="468">
        <v>54442</v>
      </c>
      <c r="AJ12070" s="5" t="s">
        <v>3624</v>
      </c>
      <c r="AK12070" s="5" t="s">
        <v>3620</v>
      </c>
    </row>
    <row r="12071" spans="35:37">
      <c r="AI12071" s="468">
        <v>54443</v>
      </c>
      <c r="AJ12071" s="5" t="s">
        <v>3626</v>
      </c>
      <c r="AK12071" s="5" t="s">
        <v>3622</v>
      </c>
    </row>
    <row r="12072" spans="35:37">
      <c r="AI12072" s="468">
        <v>54444</v>
      </c>
      <c r="AJ12072" s="5" t="s">
        <v>3628</v>
      </c>
      <c r="AK12072" s="5" t="s">
        <v>3623</v>
      </c>
    </row>
    <row r="12073" spans="35:37">
      <c r="AI12073" s="468">
        <v>54445</v>
      </c>
      <c r="AJ12073" s="5" t="s">
        <v>3617</v>
      </c>
      <c r="AK12073" s="5" t="s">
        <v>3625</v>
      </c>
    </row>
    <row r="12074" spans="35:37">
      <c r="AI12074" s="468">
        <v>54446</v>
      </c>
      <c r="AJ12074" s="5" t="s">
        <v>3619</v>
      </c>
      <c r="AK12074" s="5" t="s">
        <v>3627</v>
      </c>
    </row>
    <row r="12075" spans="35:37">
      <c r="AI12075" s="468">
        <v>54447</v>
      </c>
      <c r="AJ12075" s="5" t="s">
        <v>3621</v>
      </c>
      <c r="AK12075" s="5" t="s">
        <v>3618</v>
      </c>
    </row>
    <row r="12076" spans="35:37">
      <c r="AI12076" s="468">
        <v>54448</v>
      </c>
      <c r="AJ12076" s="5" t="s">
        <v>3579</v>
      </c>
      <c r="AK12076" s="5" t="s">
        <v>3620</v>
      </c>
    </row>
    <row r="12077" spans="35:37">
      <c r="AI12077" s="468">
        <v>54449</v>
      </c>
      <c r="AJ12077" s="5" t="s">
        <v>3624</v>
      </c>
      <c r="AK12077" s="5" t="s">
        <v>3622</v>
      </c>
    </row>
    <row r="12078" spans="35:37">
      <c r="AI12078" s="468">
        <v>54450</v>
      </c>
      <c r="AJ12078" s="5" t="s">
        <v>3626</v>
      </c>
      <c r="AK12078" s="5" t="s">
        <v>3623</v>
      </c>
    </row>
    <row r="12079" spans="35:37">
      <c r="AI12079" s="468">
        <v>54451</v>
      </c>
      <c r="AJ12079" s="5" t="s">
        <v>3628</v>
      </c>
      <c r="AK12079" s="5" t="s">
        <v>3625</v>
      </c>
    </row>
    <row r="12080" spans="35:37">
      <c r="AI12080" s="468">
        <v>54452</v>
      </c>
      <c r="AJ12080" s="5" t="s">
        <v>3617</v>
      </c>
      <c r="AK12080" s="5" t="s">
        <v>3627</v>
      </c>
    </row>
    <row r="12081" spans="35:37">
      <c r="AI12081" s="468">
        <v>54453</v>
      </c>
      <c r="AJ12081" s="5" t="s">
        <v>3619</v>
      </c>
      <c r="AK12081" s="5" t="s">
        <v>3618</v>
      </c>
    </row>
    <row r="12082" spans="35:37">
      <c r="AI12082" s="468">
        <v>54454</v>
      </c>
      <c r="AJ12082" s="5" t="s">
        <v>3621</v>
      </c>
      <c r="AK12082" s="5" t="s">
        <v>3620</v>
      </c>
    </row>
    <row r="12083" spans="35:37">
      <c r="AI12083" s="468">
        <v>54455</v>
      </c>
      <c r="AJ12083" s="5" t="s">
        <v>3579</v>
      </c>
      <c r="AK12083" s="5" t="s">
        <v>3622</v>
      </c>
    </row>
    <row r="12084" spans="35:37">
      <c r="AI12084" s="468">
        <v>54456</v>
      </c>
      <c r="AJ12084" s="5" t="s">
        <v>3624</v>
      </c>
      <c r="AK12084" s="5" t="s">
        <v>3627</v>
      </c>
    </row>
    <row r="12085" spans="35:37">
      <c r="AI12085" s="468">
        <v>54457</v>
      </c>
      <c r="AJ12085" s="5" t="s">
        <v>3626</v>
      </c>
      <c r="AK12085" s="5" t="s">
        <v>3618</v>
      </c>
    </row>
    <row r="12086" spans="35:37">
      <c r="AI12086" s="468">
        <v>54458</v>
      </c>
      <c r="AJ12086" s="5" t="s">
        <v>3628</v>
      </c>
      <c r="AK12086" s="5" t="s">
        <v>3620</v>
      </c>
    </row>
    <row r="12087" spans="35:37">
      <c r="AI12087" s="468">
        <v>54459</v>
      </c>
      <c r="AJ12087" s="5" t="s">
        <v>3617</v>
      </c>
      <c r="AK12087" s="5" t="s">
        <v>3622</v>
      </c>
    </row>
    <row r="12088" spans="35:37">
      <c r="AI12088" s="468">
        <v>54460</v>
      </c>
      <c r="AJ12088" s="5" t="s">
        <v>3619</v>
      </c>
      <c r="AK12088" s="5" t="s">
        <v>3623</v>
      </c>
    </row>
    <row r="12089" spans="35:37">
      <c r="AI12089" s="468">
        <v>54461</v>
      </c>
      <c r="AJ12089" s="5" t="s">
        <v>3621</v>
      </c>
      <c r="AK12089" s="5" t="s">
        <v>3625</v>
      </c>
    </row>
    <row r="12090" spans="35:37">
      <c r="AI12090" s="468">
        <v>54462</v>
      </c>
      <c r="AJ12090" s="5" t="s">
        <v>3579</v>
      </c>
      <c r="AK12090" s="5" t="s">
        <v>3627</v>
      </c>
    </row>
    <row r="12091" spans="35:37">
      <c r="AI12091" s="468">
        <v>54463</v>
      </c>
      <c r="AJ12091" s="5" t="s">
        <v>3624</v>
      </c>
      <c r="AK12091" s="5" t="s">
        <v>3618</v>
      </c>
    </row>
    <row r="12092" spans="35:37">
      <c r="AI12092" s="468">
        <v>54464</v>
      </c>
      <c r="AJ12092" s="5" t="s">
        <v>3626</v>
      </c>
      <c r="AK12092" s="5" t="s">
        <v>3620</v>
      </c>
    </row>
    <row r="12093" spans="35:37">
      <c r="AI12093" s="468">
        <v>54465</v>
      </c>
      <c r="AJ12093" s="5" t="s">
        <v>3628</v>
      </c>
      <c r="AK12093" s="5" t="s">
        <v>3622</v>
      </c>
    </row>
    <row r="12094" spans="35:37">
      <c r="AI12094" s="468">
        <v>54466</v>
      </c>
      <c r="AJ12094" s="5" t="s">
        <v>3617</v>
      </c>
      <c r="AK12094" s="5" t="s">
        <v>3623</v>
      </c>
    </row>
    <row r="12095" spans="35:37">
      <c r="AI12095" s="468">
        <v>54467</v>
      </c>
      <c r="AJ12095" s="5" t="s">
        <v>3619</v>
      </c>
      <c r="AK12095" s="5" t="s">
        <v>3625</v>
      </c>
    </row>
    <row r="12096" spans="35:37">
      <c r="AI12096" s="468">
        <v>54468</v>
      </c>
      <c r="AJ12096" s="5" t="s">
        <v>3621</v>
      </c>
      <c r="AK12096" s="5" t="s">
        <v>3627</v>
      </c>
    </row>
    <row r="12097" spans="35:37">
      <c r="AI12097" s="468">
        <v>54469</v>
      </c>
      <c r="AJ12097" s="5" t="s">
        <v>3579</v>
      </c>
      <c r="AK12097" s="5" t="s">
        <v>3618</v>
      </c>
    </row>
    <row r="12098" spans="35:37">
      <c r="AI12098" s="468">
        <v>54470</v>
      </c>
      <c r="AJ12098" s="5" t="s">
        <v>3624</v>
      </c>
      <c r="AK12098" s="5" t="s">
        <v>3620</v>
      </c>
    </row>
    <row r="12099" spans="35:37">
      <c r="AI12099" s="468">
        <v>54471</v>
      </c>
      <c r="AJ12099" s="5" t="s">
        <v>3626</v>
      </c>
      <c r="AK12099" s="5" t="s">
        <v>3622</v>
      </c>
    </row>
    <row r="12100" spans="35:37">
      <c r="AI12100" s="468">
        <v>54472</v>
      </c>
      <c r="AJ12100" s="5" t="s">
        <v>3628</v>
      </c>
      <c r="AK12100" s="5" t="s">
        <v>3623</v>
      </c>
    </row>
    <row r="12101" spans="35:37">
      <c r="AI12101" s="468">
        <v>54473</v>
      </c>
      <c r="AJ12101" s="5" t="s">
        <v>3617</v>
      </c>
      <c r="AK12101" s="5" t="s">
        <v>3625</v>
      </c>
    </row>
    <row r="12102" spans="35:37">
      <c r="AI12102" s="468">
        <v>54474</v>
      </c>
      <c r="AJ12102" s="5" t="s">
        <v>3619</v>
      </c>
      <c r="AK12102" s="5" t="s">
        <v>3627</v>
      </c>
    </row>
    <row r="12103" spans="35:37">
      <c r="AI12103" s="468">
        <v>54475</v>
      </c>
      <c r="AJ12103" s="5" t="s">
        <v>3621</v>
      </c>
      <c r="AK12103" s="5" t="s">
        <v>3618</v>
      </c>
    </row>
    <row r="12104" spans="35:37">
      <c r="AI12104" s="468">
        <v>54476</v>
      </c>
      <c r="AJ12104" s="5" t="s">
        <v>3579</v>
      </c>
      <c r="AK12104" s="5" t="s">
        <v>3620</v>
      </c>
    </row>
    <row r="12105" spans="35:37">
      <c r="AI12105" s="468">
        <v>54477</v>
      </c>
      <c r="AJ12105" s="5" t="s">
        <v>3624</v>
      </c>
      <c r="AK12105" s="5" t="s">
        <v>3622</v>
      </c>
    </row>
    <row r="12106" spans="35:37">
      <c r="AI12106" s="468">
        <v>54478</v>
      </c>
      <c r="AJ12106" s="5" t="s">
        <v>3626</v>
      </c>
      <c r="AK12106" s="5" t="s">
        <v>3623</v>
      </c>
    </row>
    <row r="12107" spans="35:37">
      <c r="AI12107" s="468">
        <v>54479</v>
      </c>
      <c r="AJ12107" s="5" t="s">
        <v>3628</v>
      </c>
      <c r="AK12107" s="5" t="s">
        <v>3625</v>
      </c>
    </row>
    <row r="12108" spans="35:37">
      <c r="AI12108" s="468">
        <v>54480</v>
      </c>
      <c r="AJ12108" s="5" t="s">
        <v>3617</v>
      </c>
      <c r="AK12108" s="5" t="s">
        <v>3627</v>
      </c>
    </row>
    <row r="12109" spans="35:37">
      <c r="AI12109" s="468">
        <v>54481</v>
      </c>
      <c r="AJ12109" s="5" t="s">
        <v>3619</v>
      </c>
      <c r="AK12109" s="5" t="s">
        <v>3618</v>
      </c>
    </row>
    <row r="12110" spans="35:37">
      <c r="AI12110" s="468">
        <v>54482</v>
      </c>
      <c r="AJ12110" s="5" t="s">
        <v>3621</v>
      </c>
      <c r="AK12110" s="5" t="s">
        <v>3620</v>
      </c>
    </row>
    <row r="12111" spans="35:37">
      <c r="AI12111" s="468">
        <v>54483</v>
      </c>
      <c r="AJ12111" s="5" t="s">
        <v>3579</v>
      </c>
      <c r="AK12111" s="5" t="s">
        <v>3622</v>
      </c>
    </row>
    <row r="12112" spans="35:37">
      <c r="AI12112" s="468">
        <v>54484</v>
      </c>
      <c r="AJ12112" s="5" t="s">
        <v>3624</v>
      </c>
      <c r="AK12112" s="5" t="s">
        <v>3623</v>
      </c>
    </row>
    <row r="12113" spans="35:37">
      <c r="AI12113" s="468">
        <v>54485</v>
      </c>
      <c r="AJ12113" s="5" t="s">
        <v>3626</v>
      </c>
      <c r="AK12113" s="5" t="s">
        <v>3625</v>
      </c>
    </row>
    <row r="12114" spans="35:37">
      <c r="AI12114" s="468">
        <v>54486</v>
      </c>
      <c r="AJ12114" s="5" t="s">
        <v>3628</v>
      </c>
      <c r="AK12114" s="5" t="s">
        <v>3618</v>
      </c>
    </row>
    <row r="12115" spans="35:37">
      <c r="AI12115" s="468">
        <v>54487</v>
      </c>
      <c r="AJ12115" s="5" t="s">
        <v>3617</v>
      </c>
      <c r="AK12115" s="5" t="s">
        <v>3620</v>
      </c>
    </row>
    <row r="12116" spans="35:37">
      <c r="AI12116" s="468">
        <v>54488</v>
      </c>
      <c r="AJ12116" s="5" t="s">
        <v>3619</v>
      </c>
      <c r="AK12116" s="5" t="s">
        <v>3622</v>
      </c>
    </row>
    <row r="12117" spans="35:37">
      <c r="AI12117" s="468">
        <v>54489</v>
      </c>
      <c r="AJ12117" s="5" t="s">
        <v>3621</v>
      </c>
      <c r="AK12117" s="5" t="s">
        <v>3623</v>
      </c>
    </row>
    <row r="12118" spans="35:37">
      <c r="AI12118" s="468">
        <v>54490</v>
      </c>
      <c r="AJ12118" s="5" t="s">
        <v>3579</v>
      </c>
      <c r="AK12118" s="5" t="s">
        <v>3625</v>
      </c>
    </row>
    <row r="12119" spans="35:37">
      <c r="AI12119" s="468">
        <v>54491</v>
      </c>
      <c r="AJ12119" s="5" t="s">
        <v>3624</v>
      </c>
      <c r="AK12119" s="5" t="s">
        <v>3627</v>
      </c>
    </row>
    <row r="12120" spans="35:37">
      <c r="AI12120" s="468">
        <v>54492</v>
      </c>
      <c r="AJ12120" s="5" t="s">
        <v>3626</v>
      </c>
      <c r="AK12120" s="5" t="s">
        <v>3618</v>
      </c>
    </row>
    <row r="12121" spans="35:37">
      <c r="AI12121" s="468">
        <v>54493</v>
      </c>
      <c r="AJ12121" s="5" t="s">
        <v>3628</v>
      </c>
      <c r="AK12121" s="5" t="s">
        <v>3620</v>
      </c>
    </row>
    <row r="12122" spans="35:37">
      <c r="AI12122" s="468">
        <v>54494</v>
      </c>
      <c r="AJ12122" s="5" t="s">
        <v>3617</v>
      </c>
      <c r="AK12122" s="5" t="s">
        <v>3622</v>
      </c>
    </row>
    <row r="12123" spans="35:37">
      <c r="AI12123" s="468">
        <v>54495</v>
      </c>
      <c r="AJ12123" s="5" t="s">
        <v>3619</v>
      </c>
      <c r="AK12123" s="5" t="s">
        <v>3623</v>
      </c>
    </row>
    <row r="12124" spans="35:37">
      <c r="AI12124" s="468">
        <v>54496</v>
      </c>
      <c r="AJ12124" s="5" t="s">
        <v>3621</v>
      </c>
      <c r="AK12124" s="5" t="s">
        <v>3625</v>
      </c>
    </row>
    <row r="12125" spans="35:37">
      <c r="AI12125" s="468">
        <v>54497</v>
      </c>
      <c r="AJ12125" s="5" t="s">
        <v>3579</v>
      </c>
      <c r="AK12125" s="5" t="s">
        <v>3627</v>
      </c>
    </row>
    <row r="12126" spans="35:37">
      <c r="AI12126" s="468">
        <v>54498</v>
      </c>
      <c r="AJ12126" s="5" t="s">
        <v>3624</v>
      </c>
      <c r="AK12126" s="5" t="s">
        <v>3618</v>
      </c>
    </row>
    <row r="12127" spans="35:37">
      <c r="AI12127" s="468">
        <v>54499</v>
      </c>
      <c r="AJ12127" s="5" t="s">
        <v>3626</v>
      </c>
      <c r="AK12127" s="5" t="s">
        <v>3620</v>
      </c>
    </row>
    <row r="12128" spans="35:37">
      <c r="AI12128" s="468">
        <v>54500</v>
      </c>
      <c r="AJ12128" s="5" t="s">
        <v>3628</v>
      </c>
      <c r="AK12128" s="5" t="s">
        <v>3622</v>
      </c>
    </row>
    <row r="12129" spans="35:37">
      <c r="AI12129" s="468">
        <v>54501</v>
      </c>
      <c r="AJ12129" s="5" t="s">
        <v>3617</v>
      </c>
      <c r="AK12129" s="5" t="s">
        <v>3623</v>
      </c>
    </row>
    <row r="12130" spans="35:37">
      <c r="AI12130" s="468">
        <v>54502</v>
      </c>
      <c r="AJ12130" s="5" t="s">
        <v>3619</v>
      </c>
      <c r="AK12130" s="5" t="s">
        <v>3625</v>
      </c>
    </row>
    <row r="12131" spans="35:37">
      <c r="AI12131" s="468">
        <v>54503</v>
      </c>
      <c r="AJ12131" s="5" t="s">
        <v>3621</v>
      </c>
      <c r="AK12131" s="5" t="s">
        <v>3627</v>
      </c>
    </row>
    <row r="12132" spans="35:37">
      <c r="AI12132" s="468">
        <v>54504</v>
      </c>
      <c r="AJ12132" s="5" t="s">
        <v>3579</v>
      </c>
      <c r="AK12132" s="5" t="s">
        <v>3618</v>
      </c>
    </row>
    <row r="12133" spans="35:37">
      <c r="AI12133" s="468">
        <v>54505</v>
      </c>
      <c r="AJ12133" s="5" t="s">
        <v>3624</v>
      </c>
      <c r="AK12133" s="5" t="s">
        <v>3620</v>
      </c>
    </row>
    <row r="12134" spans="35:37">
      <c r="AI12134" s="468">
        <v>54506</v>
      </c>
      <c r="AJ12134" s="5" t="s">
        <v>3626</v>
      </c>
      <c r="AK12134" s="5" t="s">
        <v>3622</v>
      </c>
    </row>
    <row r="12135" spans="35:37">
      <c r="AI12135" s="468">
        <v>54507</v>
      </c>
      <c r="AJ12135" s="5" t="s">
        <v>3628</v>
      </c>
      <c r="AK12135" s="5" t="s">
        <v>3623</v>
      </c>
    </row>
    <row r="12136" spans="35:37">
      <c r="AI12136" s="468">
        <v>54508</v>
      </c>
      <c r="AJ12136" s="5" t="s">
        <v>3617</v>
      </c>
      <c r="AK12136" s="5" t="s">
        <v>3625</v>
      </c>
    </row>
    <row r="12137" spans="35:37">
      <c r="AI12137" s="468">
        <v>54509</v>
      </c>
      <c r="AJ12137" s="5" t="s">
        <v>3619</v>
      </c>
      <c r="AK12137" s="5" t="s">
        <v>3627</v>
      </c>
    </row>
    <row r="12138" spans="35:37">
      <c r="AI12138" s="468">
        <v>54510</v>
      </c>
      <c r="AJ12138" s="5" t="s">
        <v>3621</v>
      </c>
      <c r="AK12138" s="5" t="s">
        <v>3618</v>
      </c>
    </row>
    <row r="12139" spans="35:37">
      <c r="AI12139" s="468">
        <v>54511</v>
      </c>
      <c r="AJ12139" s="5" t="s">
        <v>3579</v>
      </c>
      <c r="AK12139" s="5" t="s">
        <v>3620</v>
      </c>
    </row>
    <row r="12140" spans="35:37">
      <c r="AI12140" s="468">
        <v>54512</v>
      </c>
      <c r="AJ12140" s="5" t="s">
        <v>3624</v>
      </c>
      <c r="AK12140" s="5" t="s">
        <v>3622</v>
      </c>
    </row>
    <row r="12141" spans="35:37">
      <c r="AI12141" s="468">
        <v>54513</v>
      </c>
      <c r="AJ12141" s="5" t="s">
        <v>3626</v>
      </c>
      <c r="AK12141" s="5" t="s">
        <v>3623</v>
      </c>
    </row>
    <row r="12142" spans="35:37">
      <c r="AI12142" s="468">
        <v>54514</v>
      </c>
      <c r="AJ12142" s="5" t="s">
        <v>3628</v>
      </c>
      <c r="AK12142" s="5" t="s">
        <v>3625</v>
      </c>
    </row>
    <row r="12143" spans="35:37">
      <c r="AI12143" s="468">
        <v>54515</v>
      </c>
      <c r="AJ12143" s="5" t="s">
        <v>3617</v>
      </c>
      <c r="AK12143" s="5" t="s">
        <v>3620</v>
      </c>
    </row>
    <row r="12144" spans="35:37">
      <c r="AI12144" s="468">
        <v>54516</v>
      </c>
      <c r="AJ12144" s="5" t="s">
        <v>3619</v>
      </c>
      <c r="AK12144" s="5" t="s">
        <v>3622</v>
      </c>
    </row>
    <row r="12145" spans="35:37">
      <c r="AI12145" s="468">
        <v>54517</v>
      </c>
      <c r="AJ12145" s="5" t="s">
        <v>3621</v>
      </c>
      <c r="AK12145" s="5" t="s">
        <v>3623</v>
      </c>
    </row>
    <row r="12146" spans="35:37">
      <c r="AI12146" s="468">
        <v>54518</v>
      </c>
      <c r="AJ12146" s="5" t="s">
        <v>3579</v>
      </c>
      <c r="AK12146" s="5" t="s">
        <v>3625</v>
      </c>
    </row>
    <row r="12147" spans="35:37">
      <c r="AI12147" s="468">
        <v>54519</v>
      </c>
      <c r="AJ12147" s="5" t="s">
        <v>3624</v>
      </c>
      <c r="AK12147" s="5" t="s">
        <v>3627</v>
      </c>
    </row>
    <row r="12148" spans="35:37">
      <c r="AI12148" s="468">
        <v>54520</v>
      </c>
      <c r="AJ12148" s="5" t="s">
        <v>3626</v>
      </c>
      <c r="AK12148" s="5" t="s">
        <v>3618</v>
      </c>
    </row>
    <row r="12149" spans="35:37">
      <c r="AI12149" s="468">
        <v>54521</v>
      </c>
      <c r="AJ12149" s="5" t="s">
        <v>3628</v>
      </c>
      <c r="AK12149" s="5" t="s">
        <v>3620</v>
      </c>
    </row>
    <row r="12150" spans="35:37">
      <c r="AI12150" s="468">
        <v>54522</v>
      </c>
      <c r="AJ12150" s="5" t="s">
        <v>3617</v>
      </c>
      <c r="AK12150" s="5" t="s">
        <v>3622</v>
      </c>
    </row>
    <row r="12151" spans="35:37">
      <c r="AI12151" s="468">
        <v>54523</v>
      </c>
      <c r="AJ12151" s="5" t="s">
        <v>3619</v>
      </c>
      <c r="AK12151" s="5" t="s">
        <v>3623</v>
      </c>
    </row>
    <row r="12152" spans="35:37">
      <c r="AI12152" s="468">
        <v>54524</v>
      </c>
      <c r="AJ12152" s="5" t="s">
        <v>3621</v>
      </c>
      <c r="AK12152" s="5" t="s">
        <v>3625</v>
      </c>
    </row>
    <row r="12153" spans="35:37">
      <c r="AI12153" s="468">
        <v>54525</v>
      </c>
      <c r="AJ12153" s="5" t="s">
        <v>3579</v>
      </c>
      <c r="AK12153" s="5" t="s">
        <v>3627</v>
      </c>
    </row>
    <row r="12154" spans="35:37">
      <c r="AI12154" s="468">
        <v>54526</v>
      </c>
      <c r="AJ12154" s="5" t="s">
        <v>3624</v>
      </c>
      <c r="AK12154" s="5" t="s">
        <v>3618</v>
      </c>
    </row>
    <row r="12155" spans="35:37">
      <c r="AI12155" s="468">
        <v>54527</v>
      </c>
      <c r="AJ12155" s="5" t="s">
        <v>3626</v>
      </c>
      <c r="AK12155" s="5" t="s">
        <v>3620</v>
      </c>
    </row>
    <row r="12156" spans="35:37">
      <c r="AI12156" s="468">
        <v>54528</v>
      </c>
      <c r="AJ12156" s="5" t="s">
        <v>3628</v>
      </c>
      <c r="AK12156" s="5" t="s">
        <v>3622</v>
      </c>
    </row>
    <row r="12157" spans="35:37">
      <c r="AI12157" s="468">
        <v>54529</v>
      </c>
      <c r="AJ12157" s="5" t="s">
        <v>3617</v>
      </c>
      <c r="AK12157" s="5" t="s">
        <v>3623</v>
      </c>
    </row>
    <row r="12158" spans="35:37">
      <c r="AI12158" s="468">
        <v>54530</v>
      </c>
      <c r="AJ12158" s="5" t="s">
        <v>3619</v>
      </c>
      <c r="AK12158" s="5" t="s">
        <v>3625</v>
      </c>
    </row>
    <row r="12159" spans="35:37">
      <c r="AI12159" s="468">
        <v>54531</v>
      </c>
      <c r="AJ12159" s="5" t="s">
        <v>3621</v>
      </c>
      <c r="AK12159" s="5" t="s">
        <v>3627</v>
      </c>
    </row>
    <row r="12160" spans="35:37">
      <c r="AI12160" s="468">
        <v>54532</v>
      </c>
      <c r="AJ12160" s="5" t="s">
        <v>3579</v>
      </c>
      <c r="AK12160" s="5" t="s">
        <v>3618</v>
      </c>
    </row>
    <row r="12161" spans="35:37">
      <c r="AI12161" s="468">
        <v>54533</v>
      </c>
      <c r="AJ12161" s="5" t="s">
        <v>3624</v>
      </c>
      <c r="AK12161" s="5" t="s">
        <v>3620</v>
      </c>
    </row>
    <row r="12162" spans="35:37">
      <c r="AI12162" s="468">
        <v>54534</v>
      </c>
      <c r="AJ12162" s="5" t="s">
        <v>3626</v>
      </c>
      <c r="AK12162" s="5" t="s">
        <v>3622</v>
      </c>
    </row>
    <row r="12163" spans="35:37">
      <c r="AI12163" s="468">
        <v>54535</v>
      </c>
      <c r="AJ12163" s="5" t="s">
        <v>3628</v>
      </c>
      <c r="AK12163" s="5" t="s">
        <v>3623</v>
      </c>
    </row>
    <row r="12164" spans="35:37">
      <c r="AI12164" s="468">
        <v>54536</v>
      </c>
      <c r="AJ12164" s="5" t="s">
        <v>3617</v>
      </c>
      <c r="AK12164" s="5" t="s">
        <v>3625</v>
      </c>
    </row>
    <row r="12165" spans="35:37">
      <c r="AI12165" s="468">
        <v>54537</v>
      </c>
      <c r="AJ12165" s="5" t="s">
        <v>3619</v>
      </c>
      <c r="AK12165" s="5" t="s">
        <v>3627</v>
      </c>
    </row>
    <row r="12166" spans="35:37">
      <c r="AI12166" s="468">
        <v>54538</v>
      </c>
      <c r="AJ12166" s="5" t="s">
        <v>3621</v>
      </c>
      <c r="AK12166" s="5" t="s">
        <v>3618</v>
      </c>
    </row>
    <row r="12167" spans="35:37">
      <c r="AI12167" s="468">
        <v>54539</v>
      </c>
      <c r="AJ12167" s="5" t="s">
        <v>3579</v>
      </c>
      <c r="AK12167" s="5" t="s">
        <v>3620</v>
      </c>
    </row>
    <row r="12168" spans="35:37">
      <c r="AI12168" s="468">
        <v>54540</v>
      </c>
      <c r="AJ12168" s="5" t="s">
        <v>3624</v>
      </c>
      <c r="AK12168" s="5" t="s">
        <v>3622</v>
      </c>
    </row>
    <row r="12169" spans="35:37">
      <c r="AI12169" s="468">
        <v>54541</v>
      </c>
      <c r="AJ12169" s="5" t="s">
        <v>3626</v>
      </c>
      <c r="AK12169" s="5" t="s">
        <v>3623</v>
      </c>
    </row>
    <row r="12170" spans="35:37">
      <c r="AI12170" s="468">
        <v>54542</v>
      </c>
      <c r="AJ12170" s="5" t="s">
        <v>3628</v>
      </c>
      <c r="AK12170" s="5" t="s">
        <v>3625</v>
      </c>
    </row>
    <row r="12171" spans="35:37">
      <c r="AI12171" s="468">
        <v>54543</v>
      </c>
      <c r="AJ12171" s="5" t="s">
        <v>3617</v>
      </c>
      <c r="AK12171" s="5" t="s">
        <v>3627</v>
      </c>
    </row>
    <row r="12172" spans="35:37">
      <c r="AI12172" s="468">
        <v>54544</v>
      </c>
      <c r="AJ12172" s="5" t="s">
        <v>3619</v>
      </c>
      <c r="AK12172" s="5" t="s">
        <v>3618</v>
      </c>
    </row>
    <row r="12173" spans="35:37">
      <c r="AI12173" s="468">
        <v>54545</v>
      </c>
      <c r="AJ12173" s="5" t="s">
        <v>3621</v>
      </c>
      <c r="AK12173" s="5" t="s">
        <v>3622</v>
      </c>
    </row>
    <row r="12174" spans="35:37">
      <c r="AI12174" s="468">
        <v>54546</v>
      </c>
      <c r="AJ12174" s="5" t="s">
        <v>3579</v>
      </c>
      <c r="AK12174" s="5" t="s">
        <v>3623</v>
      </c>
    </row>
    <row r="12175" spans="35:37">
      <c r="AI12175" s="468">
        <v>54547</v>
      </c>
      <c r="AJ12175" s="5" t="s">
        <v>3624</v>
      </c>
      <c r="AK12175" s="5" t="s">
        <v>3625</v>
      </c>
    </row>
    <row r="12176" spans="35:37">
      <c r="AI12176" s="468">
        <v>54548</v>
      </c>
      <c r="AJ12176" s="5" t="s">
        <v>3626</v>
      </c>
      <c r="AK12176" s="5" t="s">
        <v>3627</v>
      </c>
    </row>
    <row r="12177" spans="35:37">
      <c r="AI12177" s="468">
        <v>54549</v>
      </c>
      <c r="AJ12177" s="5" t="s">
        <v>3628</v>
      </c>
      <c r="AK12177" s="5" t="s">
        <v>3618</v>
      </c>
    </row>
    <row r="12178" spans="35:37">
      <c r="AI12178" s="468">
        <v>54550</v>
      </c>
      <c r="AJ12178" s="5" t="s">
        <v>3617</v>
      </c>
      <c r="AK12178" s="5" t="s">
        <v>3620</v>
      </c>
    </row>
    <row r="12179" spans="35:37">
      <c r="AI12179" s="468">
        <v>54551</v>
      </c>
      <c r="AJ12179" s="5" t="s">
        <v>3619</v>
      </c>
      <c r="AK12179" s="5" t="s">
        <v>3622</v>
      </c>
    </row>
    <row r="12180" spans="35:37">
      <c r="AI12180" s="468">
        <v>54552</v>
      </c>
      <c r="AJ12180" s="5" t="s">
        <v>3621</v>
      </c>
      <c r="AK12180" s="5" t="s">
        <v>3623</v>
      </c>
    </row>
    <row r="12181" spans="35:37">
      <c r="AI12181" s="468">
        <v>54553</v>
      </c>
      <c r="AJ12181" s="5" t="s">
        <v>3579</v>
      </c>
      <c r="AK12181" s="5" t="s">
        <v>3625</v>
      </c>
    </row>
    <row r="12182" spans="35:37">
      <c r="AI12182" s="468">
        <v>54554</v>
      </c>
      <c r="AJ12182" s="5" t="s">
        <v>3624</v>
      </c>
      <c r="AK12182" s="5" t="s">
        <v>3627</v>
      </c>
    </row>
    <row r="12183" spans="35:37">
      <c r="AI12183" s="468">
        <v>54555</v>
      </c>
      <c r="AJ12183" s="5" t="s">
        <v>3626</v>
      </c>
      <c r="AK12183" s="5" t="s">
        <v>3618</v>
      </c>
    </row>
    <row r="12184" spans="35:37">
      <c r="AI12184" s="468">
        <v>54556</v>
      </c>
      <c r="AJ12184" s="5" t="s">
        <v>3628</v>
      </c>
      <c r="AK12184" s="5" t="s">
        <v>3620</v>
      </c>
    </row>
    <row r="12185" spans="35:37">
      <c r="AI12185" s="468">
        <v>54557</v>
      </c>
      <c r="AJ12185" s="5" t="s">
        <v>3617</v>
      </c>
      <c r="AK12185" s="5" t="s">
        <v>3622</v>
      </c>
    </row>
    <row r="12186" spans="35:37">
      <c r="AI12186" s="468">
        <v>54558</v>
      </c>
      <c r="AJ12186" s="5" t="s">
        <v>3619</v>
      </c>
      <c r="AK12186" s="5" t="s">
        <v>3623</v>
      </c>
    </row>
    <row r="12187" spans="35:37">
      <c r="AI12187" s="468">
        <v>54559</v>
      </c>
      <c r="AJ12187" s="5" t="s">
        <v>3621</v>
      </c>
      <c r="AK12187" s="5" t="s">
        <v>3625</v>
      </c>
    </row>
    <row r="12188" spans="35:37">
      <c r="AI12188" s="468">
        <v>54560</v>
      </c>
      <c r="AJ12188" s="5" t="s">
        <v>3579</v>
      </c>
      <c r="AK12188" s="5" t="s">
        <v>3627</v>
      </c>
    </row>
    <row r="12189" spans="35:37">
      <c r="AI12189" s="468">
        <v>54561</v>
      </c>
      <c r="AJ12189" s="5" t="s">
        <v>3624</v>
      </c>
      <c r="AK12189" s="5" t="s">
        <v>3618</v>
      </c>
    </row>
    <row r="12190" spans="35:37">
      <c r="AI12190" s="468">
        <v>54562</v>
      </c>
      <c r="AJ12190" s="5" t="s">
        <v>3626</v>
      </c>
      <c r="AK12190" s="5" t="s">
        <v>3620</v>
      </c>
    </row>
    <row r="12191" spans="35:37">
      <c r="AI12191" s="468">
        <v>54563</v>
      </c>
      <c r="AJ12191" s="5" t="s">
        <v>3628</v>
      </c>
      <c r="AK12191" s="5" t="s">
        <v>3622</v>
      </c>
    </row>
    <row r="12192" spans="35:37">
      <c r="AI12192" s="468">
        <v>54564</v>
      </c>
      <c r="AJ12192" s="5" t="s">
        <v>3617</v>
      </c>
      <c r="AK12192" s="5" t="s">
        <v>3623</v>
      </c>
    </row>
    <row r="12193" spans="35:37">
      <c r="AI12193" s="468">
        <v>54565</v>
      </c>
      <c r="AJ12193" s="5" t="s">
        <v>3619</v>
      </c>
      <c r="AK12193" s="5" t="s">
        <v>3625</v>
      </c>
    </row>
    <row r="12194" spans="35:37">
      <c r="AI12194" s="468">
        <v>54566</v>
      </c>
      <c r="AJ12194" s="5" t="s">
        <v>3621</v>
      </c>
      <c r="AK12194" s="5" t="s">
        <v>3627</v>
      </c>
    </row>
    <row r="12195" spans="35:37">
      <c r="AI12195" s="468">
        <v>54567</v>
      </c>
      <c r="AJ12195" s="5" t="s">
        <v>3579</v>
      </c>
      <c r="AK12195" s="5" t="s">
        <v>3618</v>
      </c>
    </row>
    <row r="12196" spans="35:37">
      <c r="AI12196" s="468">
        <v>54568</v>
      </c>
      <c r="AJ12196" s="5" t="s">
        <v>3624</v>
      </c>
      <c r="AK12196" s="5" t="s">
        <v>3620</v>
      </c>
    </row>
    <row r="12197" spans="35:37">
      <c r="AI12197" s="468">
        <v>54569</v>
      </c>
      <c r="AJ12197" s="5" t="s">
        <v>3626</v>
      </c>
      <c r="AK12197" s="5" t="s">
        <v>3622</v>
      </c>
    </row>
    <row r="12198" spans="35:37">
      <c r="AI12198" s="468">
        <v>54570</v>
      </c>
      <c r="AJ12198" s="5" t="s">
        <v>3628</v>
      </c>
      <c r="AK12198" s="5" t="s">
        <v>3623</v>
      </c>
    </row>
    <row r="12199" spans="35:37">
      <c r="AI12199" s="468">
        <v>54571</v>
      </c>
      <c r="AJ12199" s="5" t="s">
        <v>3617</v>
      </c>
      <c r="AK12199" s="5" t="s">
        <v>3625</v>
      </c>
    </row>
    <row r="12200" spans="35:37">
      <c r="AI12200" s="468">
        <v>54572</v>
      </c>
      <c r="AJ12200" s="5" t="s">
        <v>3619</v>
      </c>
      <c r="AK12200" s="5" t="s">
        <v>3627</v>
      </c>
    </row>
    <row r="12201" spans="35:37">
      <c r="AI12201" s="468">
        <v>54573</v>
      </c>
      <c r="AJ12201" s="5" t="s">
        <v>3621</v>
      </c>
      <c r="AK12201" s="5" t="s">
        <v>3618</v>
      </c>
    </row>
    <row r="12202" spans="35:37">
      <c r="AI12202" s="468">
        <v>54574</v>
      </c>
      <c r="AJ12202" s="5" t="s">
        <v>3579</v>
      </c>
      <c r="AK12202" s="5" t="s">
        <v>3623</v>
      </c>
    </row>
    <row r="12203" spans="35:37">
      <c r="AI12203" s="468">
        <v>54575</v>
      </c>
      <c r="AJ12203" s="5" t="s">
        <v>3624</v>
      </c>
      <c r="AK12203" s="5" t="s">
        <v>3625</v>
      </c>
    </row>
    <row r="12204" spans="35:37">
      <c r="AI12204" s="468">
        <v>54576</v>
      </c>
      <c r="AJ12204" s="5" t="s">
        <v>3626</v>
      </c>
      <c r="AK12204" s="5" t="s">
        <v>3627</v>
      </c>
    </row>
    <row r="12205" spans="35:37">
      <c r="AI12205" s="468">
        <v>54577</v>
      </c>
      <c r="AJ12205" s="5" t="s">
        <v>3628</v>
      </c>
      <c r="AK12205" s="5" t="s">
        <v>3618</v>
      </c>
    </row>
    <row r="12206" spans="35:37">
      <c r="AI12206" s="468">
        <v>54578</v>
      </c>
      <c r="AJ12206" s="5" t="s">
        <v>3617</v>
      </c>
      <c r="AK12206" s="5" t="s">
        <v>3620</v>
      </c>
    </row>
    <row r="12207" spans="35:37">
      <c r="AI12207" s="468">
        <v>54579</v>
      </c>
      <c r="AJ12207" s="5" t="s">
        <v>3619</v>
      </c>
      <c r="AK12207" s="5" t="s">
        <v>3622</v>
      </c>
    </row>
    <row r="12208" spans="35:37">
      <c r="AI12208" s="468">
        <v>54580</v>
      </c>
      <c r="AJ12208" s="5" t="s">
        <v>3621</v>
      </c>
      <c r="AK12208" s="5" t="s">
        <v>3623</v>
      </c>
    </row>
    <row r="12209" spans="35:37">
      <c r="AI12209" s="468">
        <v>54581</v>
      </c>
      <c r="AJ12209" s="5" t="s">
        <v>3579</v>
      </c>
      <c r="AK12209" s="5" t="s">
        <v>3625</v>
      </c>
    </row>
    <row r="12210" spans="35:37">
      <c r="AI12210" s="468">
        <v>54582</v>
      </c>
      <c r="AJ12210" s="5" t="s">
        <v>3624</v>
      </c>
      <c r="AK12210" s="5" t="s">
        <v>3627</v>
      </c>
    </row>
    <row r="12211" spans="35:37">
      <c r="AI12211" s="468">
        <v>54583</v>
      </c>
      <c r="AJ12211" s="5" t="s">
        <v>3626</v>
      </c>
      <c r="AK12211" s="5" t="s">
        <v>3618</v>
      </c>
    </row>
    <row r="12212" spans="35:37">
      <c r="AI12212" s="468">
        <v>54584</v>
      </c>
      <c r="AJ12212" s="5" t="s">
        <v>3628</v>
      </c>
      <c r="AK12212" s="5" t="s">
        <v>3620</v>
      </c>
    </row>
    <row r="12213" spans="35:37">
      <c r="AI12213" s="468">
        <v>54585</v>
      </c>
      <c r="AJ12213" s="5" t="s">
        <v>3617</v>
      </c>
      <c r="AK12213" s="5" t="s">
        <v>3622</v>
      </c>
    </row>
    <row r="12214" spans="35:37">
      <c r="AI12214" s="468">
        <v>54586</v>
      </c>
      <c r="AJ12214" s="5" t="s">
        <v>3619</v>
      </c>
      <c r="AK12214" s="5" t="s">
        <v>3623</v>
      </c>
    </row>
    <row r="12215" spans="35:37">
      <c r="AI12215" s="468">
        <v>54587</v>
      </c>
      <c r="AJ12215" s="5" t="s">
        <v>3621</v>
      </c>
      <c r="AK12215" s="5" t="s">
        <v>3625</v>
      </c>
    </row>
    <row r="12216" spans="35:37">
      <c r="AI12216" s="468">
        <v>54588</v>
      </c>
      <c r="AJ12216" s="5" t="s">
        <v>3579</v>
      </c>
      <c r="AK12216" s="5" t="s">
        <v>3627</v>
      </c>
    </row>
    <row r="12217" spans="35:37">
      <c r="AI12217" s="468">
        <v>54589</v>
      </c>
      <c r="AJ12217" s="5" t="s">
        <v>3624</v>
      </c>
      <c r="AK12217" s="5" t="s">
        <v>3618</v>
      </c>
    </row>
    <row r="12218" spans="35:37">
      <c r="AI12218" s="468">
        <v>54590</v>
      </c>
      <c r="AJ12218" s="5" t="s">
        <v>3626</v>
      </c>
      <c r="AK12218" s="5" t="s">
        <v>3620</v>
      </c>
    </row>
    <row r="12219" spans="35:37">
      <c r="AI12219" s="468">
        <v>54591</v>
      </c>
      <c r="AJ12219" s="5" t="s">
        <v>3628</v>
      </c>
      <c r="AK12219" s="5" t="s">
        <v>3622</v>
      </c>
    </row>
    <row r="12220" spans="35:37">
      <c r="AI12220" s="468">
        <v>54592</v>
      </c>
      <c r="AJ12220" s="5" t="s">
        <v>3617</v>
      </c>
      <c r="AK12220" s="5" t="s">
        <v>3623</v>
      </c>
    </row>
    <row r="12221" spans="35:37">
      <c r="AI12221" s="468">
        <v>54593</v>
      </c>
      <c r="AJ12221" s="5" t="s">
        <v>3619</v>
      </c>
      <c r="AK12221" s="5" t="s">
        <v>3625</v>
      </c>
    </row>
    <row r="12222" spans="35:37">
      <c r="AI12222" s="468">
        <v>54594</v>
      </c>
      <c r="AJ12222" s="5" t="s">
        <v>3621</v>
      </c>
      <c r="AK12222" s="5" t="s">
        <v>3627</v>
      </c>
    </row>
    <row r="12223" spans="35:37">
      <c r="AI12223" s="468">
        <v>54595</v>
      </c>
      <c r="AJ12223" s="5" t="s">
        <v>3579</v>
      </c>
      <c r="AK12223" s="5" t="s">
        <v>3618</v>
      </c>
    </row>
    <row r="12224" spans="35:37">
      <c r="AI12224" s="468">
        <v>54596</v>
      </c>
      <c r="AJ12224" s="5" t="s">
        <v>3624</v>
      </c>
      <c r="AK12224" s="5" t="s">
        <v>3620</v>
      </c>
    </row>
    <row r="12225" spans="35:37">
      <c r="AI12225" s="468">
        <v>54597</v>
      </c>
      <c r="AJ12225" s="5" t="s">
        <v>3626</v>
      </c>
      <c r="AK12225" s="5" t="s">
        <v>3622</v>
      </c>
    </row>
    <row r="12226" spans="35:37">
      <c r="AI12226" s="468">
        <v>54598</v>
      </c>
      <c r="AJ12226" s="5" t="s">
        <v>3628</v>
      </c>
      <c r="AK12226" s="5" t="s">
        <v>3623</v>
      </c>
    </row>
    <row r="12227" spans="35:37">
      <c r="AI12227" s="468">
        <v>54599</v>
      </c>
      <c r="AJ12227" s="5" t="s">
        <v>3617</v>
      </c>
      <c r="AK12227" s="5" t="s">
        <v>3625</v>
      </c>
    </row>
    <row r="12228" spans="35:37">
      <c r="AI12228" s="468">
        <v>54600</v>
      </c>
      <c r="AJ12228" s="5" t="s">
        <v>3619</v>
      </c>
      <c r="AK12228" s="5" t="s">
        <v>3627</v>
      </c>
    </row>
    <row r="12229" spans="35:37">
      <c r="AI12229" s="468">
        <v>54601</v>
      </c>
      <c r="AJ12229" s="5" t="s">
        <v>3621</v>
      </c>
      <c r="AK12229" s="5" t="s">
        <v>3618</v>
      </c>
    </row>
    <row r="12230" spans="35:37">
      <c r="AI12230" s="468">
        <v>54602</v>
      </c>
      <c r="AJ12230" s="5" t="s">
        <v>3579</v>
      </c>
      <c r="AK12230" s="5" t="s">
        <v>3620</v>
      </c>
    </row>
    <row r="12231" spans="35:37">
      <c r="AI12231" s="468">
        <v>54603</v>
      </c>
      <c r="AJ12231" s="5" t="s">
        <v>3624</v>
      </c>
      <c r="AK12231" s="5" t="s">
        <v>3622</v>
      </c>
    </row>
    <row r="12232" spans="35:37">
      <c r="AI12232" s="468">
        <v>54604</v>
      </c>
      <c r="AJ12232" s="5" t="s">
        <v>3626</v>
      </c>
      <c r="AK12232" s="5" t="s">
        <v>3625</v>
      </c>
    </row>
    <row r="12233" spans="35:37">
      <c r="AI12233" s="468">
        <v>54605</v>
      </c>
      <c r="AJ12233" s="5" t="s">
        <v>3628</v>
      </c>
      <c r="AK12233" s="5" t="s">
        <v>3627</v>
      </c>
    </row>
    <row r="12234" spans="35:37">
      <c r="AI12234" s="468">
        <v>54606</v>
      </c>
      <c r="AJ12234" s="5" t="s">
        <v>3617</v>
      </c>
      <c r="AK12234" s="5" t="s">
        <v>3618</v>
      </c>
    </row>
    <row r="12235" spans="35:37">
      <c r="AI12235" s="468">
        <v>54607</v>
      </c>
      <c r="AJ12235" s="5" t="s">
        <v>3619</v>
      </c>
      <c r="AK12235" s="5" t="s">
        <v>3620</v>
      </c>
    </row>
    <row r="12236" spans="35:37">
      <c r="AI12236" s="468">
        <v>54608</v>
      </c>
      <c r="AJ12236" s="5" t="s">
        <v>3621</v>
      </c>
      <c r="AK12236" s="5" t="s">
        <v>3622</v>
      </c>
    </row>
    <row r="12237" spans="35:37">
      <c r="AI12237" s="468">
        <v>54609</v>
      </c>
      <c r="AJ12237" s="5" t="s">
        <v>3579</v>
      </c>
      <c r="AK12237" s="5" t="s">
        <v>3623</v>
      </c>
    </row>
    <row r="12238" spans="35:37">
      <c r="AI12238" s="468">
        <v>54610</v>
      </c>
      <c r="AJ12238" s="5" t="s">
        <v>3624</v>
      </c>
      <c r="AK12238" s="5" t="s">
        <v>3625</v>
      </c>
    </row>
    <row r="12239" spans="35:37">
      <c r="AI12239" s="468">
        <v>54611</v>
      </c>
      <c r="AJ12239" s="5" t="s">
        <v>3626</v>
      </c>
      <c r="AK12239" s="5" t="s">
        <v>3627</v>
      </c>
    </row>
    <row r="12240" spans="35:37">
      <c r="AI12240" s="468">
        <v>54612</v>
      </c>
      <c r="AJ12240" s="5" t="s">
        <v>3628</v>
      </c>
      <c r="AK12240" s="5" t="s">
        <v>3618</v>
      </c>
    </row>
    <row r="12241" spans="35:37">
      <c r="AI12241" s="468">
        <v>54613</v>
      </c>
      <c r="AJ12241" s="5" t="s">
        <v>3617</v>
      </c>
      <c r="AK12241" s="5" t="s">
        <v>3620</v>
      </c>
    </row>
    <row r="12242" spans="35:37">
      <c r="AI12242" s="468">
        <v>54614</v>
      </c>
      <c r="AJ12242" s="5" t="s">
        <v>3619</v>
      </c>
      <c r="AK12242" s="5" t="s">
        <v>3622</v>
      </c>
    </row>
    <row r="12243" spans="35:37">
      <c r="AI12243" s="468">
        <v>54615</v>
      </c>
      <c r="AJ12243" s="5" t="s">
        <v>3621</v>
      </c>
      <c r="AK12243" s="5" t="s">
        <v>3623</v>
      </c>
    </row>
    <row r="12244" spans="35:37">
      <c r="AI12244" s="468">
        <v>54616</v>
      </c>
      <c r="AJ12244" s="5" t="s">
        <v>3579</v>
      </c>
      <c r="AK12244" s="5" t="s">
        <v>3625</v>
      </c>
    </row>
    <row r="12245" spans="35:37">
      <c r="AI12245" s="468">
        <v>54617</v>
      </c>
      <c r="AJ12245" s="5" t="s">
        <v>3624</v>
      </c>
      <c r="AK12245" s="5" t="s">
        <v>3627</v>
      </c>
    </row>
    <row r="12246" spans="35:37">
      <c r="AI12246" s="468">
        <v>54618</v>
      </c>
      <c r="AJ12246" s="5" t="s">
        <v>3626</v>
      </c>
      <c r="AK12246" s="5" t="s">
        <v>3618</v>
      </c>
    </row>
    <row r="12247" spans="35:37">
      <c r="AI12247" s="468">
        <v>54619</v>
      </c>
      <c r="AJ12247" s="5" t="s">
        <v>3628</v>
      </c>
      <c r="AK12247" s="5" t="s">
        <v>3620</v>
      </c>
    </row>
    <row r="12248" spans="35:37">
      <c r="AI12248" s="468">
        <v>54620</v>
      </c>
      <c r="AJ12248" s="5" t="s">
        <v>3617</v>
      </c>
      <c r="AK12248" s="5" t="s">
        <v>3622</v>
      </c>
    </row>
    <row r="12249" spans="35:37">
      <c r="AI12249" s="468">
        <v>54621</v>
      </c>
      <c r="AJ12249" s="5" t="s">
        <v>3619</v>
      </c>
      <c r="AK12249" s="5" t="s">
        <v>3623</v>
      </c>
    </row>
    <row r="12250" spans="35:37">
      <c r="AI12250" s="468">
        <v>54622</v>
      </c>
      <c r="AJ12250" s="5" t="s">
        <v>3621</v>
      </c>
      <c r="AK12250" s="5" t="s">
        <v>3625</v>
      </c>
    </row>
    <row r="12251" spans="35:37">
      <c r="AI12251" s="468">
        <v>54623</v>
      </c>
      <c r="AJ12251" s="5" t="s">
        <v>3579</v>
      </c>
      <c r="AK12251" s="5" t="s">
        <v>3627</v>
      </c>
    </row>
    <row r="12252" spans="35:37">
      <c r="AI12252" s="468">
        <v>54624</v>
      </c>
      <c r="AJ12252" s="5" t="s">
        <v>3624</v>
      </c>
      <c r="AK12252" s="5" t="s">
        <v>3618</v>
      </c>
    </row>
    <row r="12253" spans="35:37">
      <c r="AI12253" s="468">
        <v>54625</v>
      </c>
      <c r="AJ12253" s="5" t="s">
        <v>3626</v>
      </c>
      <c r="AK12253" s="5" t="s">
        <v>3620</v>
      </c>
    </row>
    <row r="12254" spans="35:37">
      <c r="AI12254" s="468">
        <v>54626</v>
      </c>
      <c r="AJ12254" s="5" t="s">
        <v>3628</v>
      </c>
      <c r="AK12254" s="5" t="s">
        <v>3622</v>
      </c>
    </row>
    <row r="12255" spans="35:37">
      <c r="AI12255" s="468">
        <v>54627</v>
      </c>
      <c r="AJ12255" s="5" t="s">
        <v>3617</v>
      </c>
      <c r="AK12255" s="5" t="s">
        <v>3623</v>
      </c>
    </row>
    <row r="12256" spans="35:37">
      <c r="AI12256" s="468">
        <v>54628</v>
      </c>
      <c r="AJ12256" s="5" t="s">
        <v>3619</v>
      </c>
      <c r="AK12256" s="5" t="s">
        <v>3625</v>
      </c>
    </row>
    <row r="12257" spans="35:37">
      <c r="AI12257" s="468">
        <v>54629</v>
      </c>
      <c r="AJ12257" s="5" t="s">
        <v>3621</v>
      </c>
      <c r="AK12257" s="5" t="s">
        <v>3627</v>
      </c>
    </row>
    <row r="12258" spans="35:37">
      <c r="AI12258" s="468">
        <v>54630</v>
      </c>
      <c r="AJ12258" s="5" t="s">
        <v>3579</v>
      </c>
      <c r="AK12258" s="5" t="s">
        <v>3618</v>
      </c>
    </row>
    <row r="12259" spans="35:37">
      <c r="AI12259" s="468">
        <v>54631</v>
      </c>
      <c r="AJ12259" s="5" t="s">
        <v>3624</v>
      </c>
      <c r="AK12259" s="5" t="s">
        <v>3620</v>
      </c>
    </row>
    <row r="12260" spans="35:37">
      <c r="AI12260" s="468">
        <v>54632</v>
      </c>
      <c r="AJ12260" s="5" t="s">
        <v>3626</v>
      </c>
      <c r="AK12260" s="5" t="s">
        <v>3622</v>
      </c>
    </row>
    <row r="12261" spans="35:37">
      <c r="AI12261" s="468">
        <v>54633</v>
      </c>
      <c r="AJ12261" s="5" t="s">
        <v>3628</v>
      </c>
      <c r="AK12261" s="5" t="s">
        <v>3623</v>
      </c>
    </row>
    <row r="12262" spans="35:37">
      <c r="AI12262" s="468">
        <v>54634</v>
      </c>
      <c r="AJ12262" s="5" t="s">
        <v>3617</v>
      </c>
      <c r="AK12262" s="5" t="s">
        <v>3627</v>
      </c>
    </row>
    <row r="12263" spans="35:37">
      <c r="AI12263" s="468">
        <v>54635</v>
      </c>
      <c r="AJ12263" s="5" t="s">
        <v>3619</v>
      </c>
      <c r="AK12263" s="5" t="s">
        <v>3618</v>
      </c>
    </row>
    <row r="12264" spans="35:37">
      <c r="AI12264" s="468">
        <v>54636</v>
      </c>
      <c r="AJ12264" s="5" t="s">
        <v>3621</v>
      </c>
      <c r="AK12264" s="5" t="s">
        <v>3620</v>
      </c>
    </row>
    <row r="12265" spans="35:37">
      <c r="AI12265" s="468">
        <v>54637</v>
      </c>
      <c r="AJ12265" s="5" t="s">
        <v>3579</v>
      </c>
      <c r="AK12265" s="5" t="s">
        <v>3622</v>
      </c>
    </row>
    <row r="12266" spans="35:37">
      <c r="AI12266" s="468">
        <v>54638</v>
      </c>
      <c r="AJ12266" s="5" t="s">
        <v>3624</v>
      </c>
      <c r="AK12266" s="5" t="s">
        <v>3623</v>
      </c>
    </row>
    <row r="12267" spans="35:37">
      <c r="AI12267" s="468">
        <v>54639</v>
      </c>
      <c r="AJ12267" s="5" t="s">
        <v>3626</v>
      </c>
      <c r="AK12267" s="5" t="s">
        <v>3625</v>
      </c>
    </row>
    <row r="12268" spans="35:37">
      <c r="AI12268" s="468">
        <v>54640</v>
      </c>
      <c r="AJ12268" s="5" t="s">
        <v>3628</v>
      </c>
      <c r="AK12268" s="5" t="s">
        <v>3627</v>
      </c>
    </row>
    <row r="12269" spans="35:37">
      <c r="AI12269" s="468">
        <v>54641</v>
      </c>
      <c r="AJ12269" s="5" t="s">
        <v>3617</v>
      </c>
      <c r="AK12269" s="5" t="s">
        <v>3618</v>
      </c>
    </row>
    <row r="12270" spans="35:37">
      <c r="AI12270" s="468">
        <v>54642</v>
      </c>
      <c r="AJ12270" s="5" t="s">
        <v>3619</v>
      </c>
      <c r="AK12270" s="5" t="s">
        <v>3620</v>
      </c>
    </row>
    <row r="12271" spans="35:37">
      <c r="AI12271" s="468">
        <v>54643</v>
      </c>
      <c r="AJ12271" s="5" t="s">
        <v>3621</v>
      </c>
      <c r="AK12271" s="5" t="s">
        <v>3622</v>
      </c>
    </row>
    <row r="12272" spans="35:37">
      <c r="AI12272" s="468">
        <v>54644</v>
      </c>
      <c r="AJ12272" s="5" t="s">
        <v>3579</v>
      </c>
      <c r="AK12272" s="5" t="s">
        <v>3623</v>
      </c>
    </row>
    <row r="12273" spans="35:37">
      <c r="AI12273" s="468">
        <v>54645</v>
      </c>
      <c r="AJ12273" s="5" t="s">
        <v>3624</v>
      </c>
      <c r="AK12273" s="5" t="s">
        <v>3625</v>
      </c>
    </row>
    <row r="12274" spans="35:37">
      <c r="AI12274" s="468">
        <v>54646</v>
      </c>
      <c r="AJ12274" s="5" t="s">
        <v>3626</v>
      </c>
      <c r="AK12274" s="5" t="s">
        <v>3627</v>
      </c>
    </row>
    <row r="12275" spans="35:37">
      <c r="AI12275" s="468">
        <v>54647</v>
      </c>
      <c r="AJ12275" s="5" t="s">
        <v>3628</v>
      </c>
      <c r="AK12275" s="5" t="s">
        <v>3618</v>
      </c>
    </row>
    <row r="12276" spans="35:37">
      <c r="AI12276" s="468">
        <v>54648</v>
      </c>
      <c r="AJ12276" s="5" t="s">
        <v>3617</v>
      </c>
      <c r="AK12276" s="5" t="s">
        <v>3620</v>
      </c>
    </row>
    <row r="12277" spans="35:37">
      <c r="AI12277" s="468">
        <v>54649</v>
      </c>
      <c r="AJ12277" s="5" t="s">
        <v>3619</v>
      </c>
      <c r="AK12277" s="5" t="s">
        <v>3622</v>
      </c>
    </row>
    <row r="12278" spans="35:37">
      <c r="AI12278" s="468">
        <v>54650</v>
      </c>
      <c r="AJ12278" s="5" t="s">
        <v>3621</v>
      </c>
      <c r="AK12278" s="5" t="s">
        <v>3623</v>
      </c>
    </row>
    <row r="12279" spans="35:37">
      <c r="AI12279" s="468">
        <v>54651</v>
      </c>
      <c r="AJ12279" s="5" t="s">
        <v>3579</v>
      </c>
      <c r="AK12279" s="5" t="s">
        <v>3625</v>
      </c>
    </row>
    <row r="12280" spans="35:37">
      <c r="AI12280" s="468">
        <v>54652</v>
      </c>
      <c r="AJ12280" s="5" t="s">
        <v>3624</v>
      </c>
      <c r="AK12280" s="5" t="s">
        <v>3627</v>
      </c>
    </row>
    <row r="12281" spans="35:37">
      <c r="AI12281" s="468">
        <v>54653</v>
      </c>
      <c r="AJ12281" s="5" t="s">
        <v>3626</v>
      </c>
      <c r="AK12281" s="5" t="s">
        <v>3618</v>
      </c>
    </row>
    <row r="12282" spans="35:37">
      <c r="AI12282" s="468">
        <v>54654</v>
      </c>
      <c r="AJ12282" s="5" t="s">
        <v>3628</v>
      </c>
      <c r="AK12282" s="5" t="s">
        <v>3620</v>
      </c>
    </row>
    <row r="12283" spans="35:37">
      <c r="AI12283" s="468">
        <v>54655</v>
      </c>
      <c r="AJ12283" s="5" t="s">
        <v>3617</v>
      </c>
      <c r="AK12283" s="5" t="s">
        <v>3622</v>
      </c>
    </row>
    <row r="12284" spans="35:37">
      <c r="AI12284" s="468">
        <v>54656</v>
      </c>
      <c r="AJ12284" s="5" t="s">
        <v>3619</v>
      </c>
      <c r="AK12284" s="5" t="s">
        <v>3623</v>
      </c>
    </row>
    <row r="12285" spans="35:37">
      <c r="AI12285" s="468">
        <v>54657</v>
      </c>
      <c r="AJ12285" s="5" t="s">
        <v>3621</v>
      </c>
      <c r="AK12285" s="5" t="s">
        <v>3625</v>
      </c>
    </row>
    <row r="12286" spans="35:37">
      <c r="AI12286" s="468">
        <v>54658</v>
      </c>
      <c r="AJ12286" s="5" t="s">
        <v>3579</v>
      </c>
      <c r="AK12286" s="5" t="s">
        <v>3627</v>
      </c>
    </row>
    <row r="12287" spans="35:37">
      <c r="AI12287" s="468">
        <v>54659</v>
      </c>
      <c r="AJ12287" s="5" t="s">
        <v>3624</v>
      </c>
      <c r="AK12287" s="5" t="s">
        <v>3618</v>
      </c>
    </row>
    <row r="12288" spans="35:37">
      <c r="AI12288" s="468">
        <v>54660</v>
      </c>
      <c r="AJ12288" s="5" t="s">
        <v>3626</v>
      </c>
      <c r="AK12288" s="5" t="s">
        <v>3620</v>
      </c>
    </row>
    <row r="12289" spans="35:37">
      <c r="AI12289" s="468">
        <v>54661</v>
      </c>
      <c r="AJ12289" s="5" t="s">
        <v>3628</v>
      </c>
      <c r="AK12289" s="5" t="s">
        <v>3622</v>
      </c>
    </row>
    <row r="12290" spans="35:37">
      <c r="AI12290" s="468">
        <v>54662</v>
      </c>
      <c r="AJ12290" s="5" t="s">
        <v>3617</v>
      </c>
      <c r="AK12290" s="5" t="s">
        <v>3623</v>
      </c>
    </row>
    <row r="12291" spans="35:37">
      <c r="AI12291" s="468">
        <v>54663</v>
      </c>
      <c r="AJ12291" s="5" t="s">
        <v>3619</v>
      </c>
      <c r="AK12291" s="5" t="s">
        <v>3618</v>
      </c>
    </row>
    <row r="12292" spans="35:37">
      <c r="AI12292" s="468">
        <v>54664</v>
      </c>
      <c r="AJ12292" s="5" t="s">
        <v>3621</v>
      </c>
      <c r="AK12292" s="5" t="s">
        <v>3620</v>
      </c>
    </row>
    <row r="12293" spans="35:37">
      <c r="AI12293" s="468">
        <v>54665</v>
      </c>
      <c r="AJ12293" s="5" t="s">
        <v>3579</v>
      </c>
      <c r="AK12293" s="5" t="s">
        <v>3622</v>
      </c>
    </row>
    <row r="12294" spans="35:37">
      <c r="AI12294" s="468">
        <v>54666</v>
      </c>
      <c r="AJ12294" s="5" t="s">
        <v>3624</v>
      </c>
      <c r="AK12294" s="5" t="s">
        <v>3623</v>
      </c>
    </row>
    <row r="12295" spans="35:37">
      <c r="AI12295" s="468">
        <v>54667</v>
      </c>
      <c r="AJ12295" s="5" t="s">
        <v>3626</v>
      </c>
      <c r="AK12295" s="5" t="s">
        <v>3625</v>
      </c>
    </row>
    <row r="12296" spans="35:37">
      <c r="AI12296" s="468">
        <v>54668</v>
      </c>
      <c r="AJ12296" s="5" t="s">
        <v>3628</v>
      </c>
      <c r="AK12296" s="5" t="s">
        <v>3627</v>
      </c>
    </row>
    <row r="12297" spans="35:37">
      <c r="AI12297" s="468">
        <v>54669</v>
      </c>
      <c r="AJ12297" s="5" t="s">
        <v>3617</v>
      </c>
      <c r="AK12297" s="5" t="s">
        <v>3618</v>
      </c>
    </row>
    <row r="12298" spans="35:37">
      <c r="AI12298" s="468">
        <v>54670</v>
      </c>
      <c r="AJ12298" s="5" t="s">
        <v>3619</v>
      </c>
      <c r="AK12298" s="5" t="s">
        <v>3620</v>
      </c>
    </row>
    <row r="12299" spans="35:37">
      <c r="AI12299" s="468">
        <v>54671</v>
      </c>
      <c r="AJ12299" s="5" t="s">
        <v>3621</v>
      </c>
      <c r="AK12299" s="5" t="s">
        <v>3622</v>
      </c>
    </row>
    <row r="12300" spans="35:37">
      <c r="AI12300" s="468">
        <v>54672</v>
      </c>
      <c r="AJ12300" s="5" t="s">
        <v>3579</v>
      </c>
      <c r="AK12300" s="5" t="s">
        <v>3623</v>
      </c>
    </row>
    <row r="12301" spans="35:37">
      <c r="AI12301" s="468">
        <v>54673</v>
      </c>
      <c r="AJ12301" s="5" t="s">
        <v>3624</v>
      </c>
      <c r="AK12301" s="5" t="s">
        <v>3625</v>
      </c>
    </row>
    <row r="12302" spans="35:37">
      <c r="AI12302" s="468">
        <v>54674</v>
      </c>
      <c r="AJ12302" s="5" t="s">
        <v>3626</v>
      </c>
      <c r="AK12302" s="5" t="s">
        <v>3627</v>
      </c>
    </row>
    <row r="12303" spans="35:37">
      <c r="AI12303" s="468">
        <v>54675</v>
      </c>
      <c r="AJ12303" s="5" t="s">
        <v>3628</v>
      </c>
      <c r="AK12303" s="5" t="s">
        <v>3618</v>
      </c>
    </row>
    <row r="12304" spans="35:37">
      <c r="AI12304" s="468">
        <v>54676</v>
      </c>
      <c r="AJ12304" s="5" t="s">
        <v>3617</v>
      </c>
      <c r="AK12304" s="5" t="s">
        <v>3620</v>
      </c>
    </row>
    <row r="12305" spans="35:37">
      <c r="AI12305" s="468">
        <v>54677</v>
      </c>
      <c r="AJ12305" s="5" t="s">
        <v>3619</v>
      </c>
      <c r="AK12305" s="5" t="s">
        <v>3622</v>
      </c>
    </row>
    <row r="12306" spans="35:37">
      <c r="AI12306" s="468">
        <v>54678</v>
      </c>
      <c r="AJ12306" s="5" t="s">
        <v>3621</v>
      </c>
      <c r="AK12306" s="5" t="s">
        <v>3623</v>
      </c>
    </row>
    <row r="12307" spans="35:37">
      <c r="AI12307" s="468">
        <v>54679</v>
      </c>
      <c r="AJ12307" s="5" t="s">
        <v>3579</v>
      </c>
      <c r="AK12307" s="5" t="s">
        <v>3625</v>
      </c>
    </row>
    <row r="12308" spans="35:37">
      <c r="AI12308" s="468">
        <v>54680</v>
      </c>
      <c r="AJ12308" s="5" t="s">
        <v>3624</v>
      </c>
      <c r="AK12308" s="5" t="s">
        <v>3627</v>
      </c>
    </row>
    <row r="12309" spans="35:37">
      <c r="AI12309" s="468">
        <v>54681</v>
      </c>
      <c r="AJ12309" s="5" t="s">
        <v>3626</v>
      </c>
      <c r="AK12309" s="5" t="s">
        <v>3618</v>
      </c>
    </row>
    <row r="12310" spans="35:37">
      <c r="AI12310" s="468">
        <v>54682</v>
      </c>
      <c r="AJ12310" s="5" t="s">
        <v>3628</v>
      </c>
      <c r="AK12310" s="5" t="s">
        <v>3620</v>
      </c>
    </row>
    <row r="12311" spans="35:37">
      <c r="AI12311" s="468">
        <v>54683</v>
      </c>
      <c r="AJ12311" s="5" t="s">
        <v>3617</v>
      </c>
      <c r="AK12311" s="5" t="s">
        <v>3622</v>
      </c>
    </row>
    <row r="12312" spans="35:37">
      <c r="AI12312" s="468">
        <v>54684</v>
      </c>
      <c r="AJ12312" s="5" t="s">
        <v>3619</v>
      </c>
      <c r="AK12312" s="5" t="s">
        <v>3623</v>
      </c>
    </row>
    <row r="12313" spans="35:37">
      <c r="AI12313" s="468">
        <v>54685</v>
      </c>
      <c r="AJ12313" s="5" t="s">
        <v>3621</v>
      </c>
      <c r="AK12313" s="5" t="s">
        <v>3625</v>
      </c>
    </row>
    <row r="12314" spans="35:37">
      <c r="AI12314" s="468">
        <v>54686</v>
      </c>
      <c r="AJ12314" s="5" t="s">
        <v>3579</v>
      </c>
      <c r="AK12314" s="5" t="s">
        <v>3627</v>
      </c>
    </row>
    <row r="12315" spans="35:37">
      <c r="AI12315" s="468">
        <v>54687</v>
      </c>
      <c r="AJ12315" s="5" t="s">
        <v>3624</v>
      </c>
      <c r="AK12315" s="5" t="s">
        <v>3618</v>
      </c>
    </row>
    <row r="12316" spans="35:37">
      <c r="AI12316" s="468">
        <v>54688</v>
      </c>
      <c r="AJ12316" s="5" t="s">
        <v>3626</v>
      </c>
      <c r="AK12316" s="5" t="s">
        <v>3620</v>
      </c>
    </row>
    <row r="12317" spans="35:37">
      <c r="AI12317" s="468">
        <v>54689</v>
      </c>
      <c r="AJ12317" s="5" t="s">
        <v>3628</v>
      </c>
      <c r="AK12317" s="5" t="s">
        <v>3622</v>
      </c>
    </row>
    <row r="12318" spans="35:37">
      <c r="AI12318" s="468">
        <v>54690</v>
      </c>
      <c r="AJ12318" s="5" t="s">
        <v>3617</v>
      </c>
      <c r="AK12318" s="5" t="s">
        <v>3623</v>
      </c>
    </row>
    <row r="12319" spans="35:37">
      <c r="AI12319" s="468">
        <v>54691</v>
      </c>
      <c r="AJ12319" s="5" t="s">
        <v>3619</v>
      </c>
      <c r="AK12319" s="5" t="s">
        <v>3625</v>
      </c>
    </row>
    <row r="12320" spans="35:37">
      <c r="AI12320" s="468">
        <v>54692</v>
      </c>
      <c r="AJ12320" s="5" t="s">
        <v>3621</v>
      </c>
      <c r="AK12320" s="5" t="s">
        <v>3627</v>
      </c>
    </row>
    <row r="12321" spans="35:37">
      <c r="AI12321" s="468">
        <v>54693</v>
      </c>
      <c r="AJ12321" s="5" t="s">
        <v>3579</v>
      </c>
      <c r="AK12321" s="5" t="s">
        <v>3620</v>
      </c>
    </row>
    <row r="12322" spans="35:37">
      <c r="AI12322" s="468">
        <v>54694</v>
      </c>
      <c r="AJ12322" s="5" t="s">
        <v>3624</v>
      </c>
      <c r="AK12322" s="5" t="s">
        <v>3622</v>
      </c>
    </row>
    <row r="12323" spans="35:37">
      <c r="AI12323" s="468">
        <v>54695</v>
      </c>
      <c r="AJ12323" s="5" t="s">
        <v>3626</v>
      </c>
      <c r="AK12323" s="5" t="s">
        <v>3623</v>
      </c>
    </row>
    <row r="12324" spans="35:37">
      <c r="AI12324" s="468">
        <v>54696</v>
      </c>
      <c r="AJ12324" s="5" t="s">
        <v>3628</v>
      </c>
      <c r="AK12324" s="5" t="s">
        <v>3625</v>
      </c>
    </row>
    <row r="12325" spans="35:37">
      <c r="AI12325" s="468">
        <v>54697</v>
      </c>
      <c r="AJ12325" s="5" t="s">
        <v>3617</v>
      </c>
      <c r="AK12325" s="5" t="s">
        <v>3627</v>
      </c>
    </row>
    <row r="12326" spans="35:37">
      <c r="AI12326" s="468">
        <v>54698</v>
      </c>
      <c r="AJ12326" s="5" t="s">
        <v>3619</v>
      </c>
      <c r="AK12326" s="5" t="s">
        <v>3618</v>
      </c>
    </row>
    <row r="12327" spans="35:37">
      <c r="AI12327" s="468">
        <v>54699</v>
      </c>
      <c r="AJ12327" s="5" t="s">
        <v>3621</v>
      </c>
      <c r="AK12327" s="5" t="s">
        <v>3620</v>
      </c>
    </row>
    <row r="12328" spans="35:37">
      <c r="AI12328" s="468">
        <v>54700</v>
      </c>
      <c r="AJ12328" s="5" t="s">
        <v>3579</v>
      </c>
      <c r="AK12328" s="5" t="s">
        <v>3622</v>
      </c>
    </row>
    <row r="12329" spans="35:37">
      <c r="AI12329" s="468">
        <v>54701</v>
      </c>
      <c r="AJ12329" s="5" t="s">
        <v>3624</v>
      </c>
      <c r="AK12329" s="5" t="s">
        <v>3623</v>
      </c>
    </row>
    <row r="12330" spans="35:37">
      <c r="AI12330" s="468">
        <v>54702</v>
      </c>
      <c r="AJ12330" s="5" t="s">
        <v>3626</v>
      </c>
      <c r="AK12330" s="5" t="s">
        <v>3625</v>
      </c>
    </row>
    <row r="12331" spans="35:37">
      <c r="AI12331" s="468">
        <v>54703</v>
      </c>
      <c r="AJ12331" s="5" t="s">
        <v>3628</v>
      </c>
      <c r="AK12331" s="5" t="s">
        <v>3627</v>
      </c>
    </row>
    <row r="12332" spans="35:37">
      <c r="AI12332" s="468">
        <v>54704</v>
      </c>
      <c r="AJ12332" s="5" t="s">
        <v>3617</v>
      </c>
      <c r="AK12332" s="5" t="s">
        <v>3618</v>
      </c>
    </row>
    <row r="12333" spans="35:37">
      <c r="AI12333" s="468">
        <v>54705</v>
      </c>
      <c r="AJ12333" s="5" t="s">
        <v>3619</v>
      </c>
      <c r="AK12333" s="5" t="s">
        <v>3620</v>
      </c>
    </row>
    <row r="12334" spans="35:37">
      <c r="AI12334" s="468">
        <v>54706</v>
      </c>
      <c r="AJ12334" s="5" t="s">
        <v>3621</v>
      </c>
      <c r="AK12334" s="5" t="s">
        <v>3622</v>
      </c>
    </row>
    <row r="12335" spans="35:37">
      <c r="AI12335" s="468">
        <v>54707</v>
      </c>
      <c r="AJ12335" s="5" t="s">
        <v>3579</v>
      </c>
      <c r="AK12335" s="5" t="s">
        <v>3623</v>
      </c>
    </row>
    <row r="12336" spans="35:37">
      <c r="AI12336" s="468">
        <v>54708</v>
      </c>
      <c r="AJ12336" s="5" t="s">
        <v>3624</v>
      </c>
      <c r="AK12336" s="5" t="s">
        <v>3625</v>
      </c>
    </row>
    <row r="12337" spans="35:37">
      <c r="AI12337" s="468">
        <v>54709</v>
      </c>
      <c r="AJ12337" s="5" t="s">
        <v>3626</v>
      </c>
      <c r="AK12337" s="5" t="s">
        <v>3627</v>
      </c>
    </row>
    <row r="12338" spans="35:37">
      <c r="AI12338" s="468">
        <v>54710</v>
      </c>
      <c r="AJ12338" s="5" t="s">
        <v>3628</v>
      </c>
      <c r="AK12338" s="5" t="s">
        <v>3618</v>
      </c>
    </row>
    <row r="12339" spans="35:37">
      <c r="AI12339" s="468">
        <v>54711</v>
      </c>
      <c r="AJ12339" s="5" t="s">
        <v>3617</v>
      </c>
      <c r="AK12339" s="5" t="s">
        <v>3620</v>
      </c>
    </row>
    <row r="12340" spans="35:37">
      <c r="AI12340" s="468">
        <v>54712</v>
      </c>
      <c r="AJ12340" s="5" t="s">
        <v>3619</v>
      </c>
      <c r="AK12340" s="5" t="s">
        <v>3622</v>
      </c>
    </row>
    <row r="12341" spans="35:37">
      <c r="AI12341" s="468">
        <v>54713</v>
      </c>
      <c r="AJ12341" s="5" t="s">
        <v>3621</v>
      </c>
      <c r="AK12341" s="5" t="s">
        <v>3623</v>
      </c>
    </row>
    <row r="12342" spans="35:37">
      <c r="AI12342" s="468">
        <v>54714</v>
      </c>
      <c r="AJ12342" s="5" t="s">
        <v>3579</v>
      </c>
      <c r="AK12342" s="5" t="s">
        <v>3625</v>
      </c>
    </row>
    <row r="12343" spans="35:37">
      <c r="AI12343" s="468">
        <v>54715</v>
      </c>
      <c r="AJ12343" s="5" t="s">
        <v>3624</v>
      </c>
      <c r="AK12343" s="5" t="s">
        <v>3627</v>
      </c>
    </row>
    <row r="12344" spans="35:37">
      <c r="AI12344" s="468">
        <v>54716</v>
      </c>
      <c r="AJ12344" s="5" t="s">
        <v>3626</v>
      </c>
      <c r="AK12344" s="5" t="s">
        <v>3618</v>
      </c>
    </row>
    <row r="12345" spans="35:37">
      <c r="AI12345" s="468">
        <v>54717</v>
      </c>
      <c r="AJ12345" s="5" t="s">
        <v>3628</v>
      </c>
      <c r="AK12345" s="5" t="s">
        <v>3620</v>
      </c>
    </row>
    <row r="12346" spans="35:37">
      <c r="AI12346" s="468">
        <v>54718</v>
      </c>
      <c r="AJ12346" s="5" t="s">
        <v>3617</v>
      </c>
      <c r="AK12346" s="5" t="s">
        <v>3622</v>
      </c>
    </row>
    <row r="12347" spans="35:37">
      <c r="AI12347" s="468">
        <v>54719</v>
      </c>
      <c r="AJ12347" s="5" t="s">
        <v>3619</v>
      </c>
      <c r="AK12347" s="5" t="s">
        <v>3623</v>
      </c>
    </row>
    <row r="12348" spans="35:37">
      <c r="AI12348" s="468">
        <v>54720</v>
      </c>
      <c r="AJ12348" s="5" t="s">
        <v>3621</v>
      </c>
      <c r="AK12348" s="5" t="s">
        <v>3625</v>
      </c>
    </row>
    <row r="12349" spans="35:37">
      <c r="AI12349" s="468">
        <v>54721</v>
      </c>
      <c r="AJ12349" s="5" t="s">
        <v>3579</v>
      </c>
      <c r="AK12349" s="5" t="s">
        <v>3627</v>
      </c>
    </row>
    <row r="12350" spans="35:37">
      <c r="AI12350" s="468">
        <v>54722</v>
      </c>
      <c r="AJ12350" s="5" t="s">
        <v>3624</v>
      </c>
      <c r="AK12350" s="5" t="s">
        <v>3618</v>
      </c>
    </row>
    <row r="12351" spans="35:37">
      <c r="AI12351" s="468">
        <v>54723</v>
      </c>
      <c r="AJ12351" s="5" t="s">
        <v>3626</v>
      </c>
      <c r="AK12351" s="5" t="s">
        <v>3622</v>
      </c>
    </row>
    <row r="12352" spans="35:37">
      <c r="AI12352" s="468">
        <v>54724</v>
      </c>
      <c r="AJ12352" s="5" t="s">
        <v>3628</v>
      </c>
      <c r="AK12352" s="5" t="s">
        <v>3623</v>
      </c>
    </row>
    <row r="12353" spans="35:37">
      <c r="AI12353" s="468">
        <v>54725</v>
      </c>
      <c r="AJ12353" s="5" t="s">
        <v>3617</v>
      </c>
      <c r="AK12353" s="5" t="s">
        <v>3625</v>
      </c>
    </row>
    <row r="12354" spans="35:37">
      <c r="AI12354" s="468">
        <v>54726</v>
      </c>
      <c r="AJ12354" s="5" t="s">
        <v>3619</v>
      </c>
      <c r="AK12354" s="5" t="s">
        <v>3627</v>
      </c>
    </row>
    <row r="12355" spans="35:37">
      <c r="AI12355" s="468">
        <v>54727</v>
      </c>
      <c r="AJ12355" s="5" t="s">
        <v>3621</v>
      </c>
      <c r="AK12355" s="5" t="s">
        <v>3618</v>
      </c>
    </row>
    <row r="12356" spans="35:37">
      <c r="AI12356" s="468">
        <v>54728</v>
      </c>
      <c r="AJ12356" s="5" t="s">
        <v>3579</v>
      </c>
      <c r="AK12356" s="5" t="s">
        <v>3620</v>
      </c>
    </row>
    <row r="12357" spans="35:37">
      <c r="AI12357" s="468">
        <v>54729</v>
      </c>
      <c r="AJ12357" s="5" t="s">
        <v>3624</v>
      </c>
      <c r="AK12357" s="5" t="s">
        <v>3622</v>
      </c>
    </row>
    <row r="12358" spans="35:37">
      <c r="AI12358" s="468">
        <v>54730</v>
      </c>
      <c r="AJ12358" s="5" t="s">
        <v>3626</v>
      </c>
      <c r="AK12358" s="5" t="s">
        <v>3623</v>
      </c>
    </row>
    <row r="12359" spans="35:37">
      <c r="AI12359" s="468">
        <v>54731</v>
      </c>
      <c r="AJ12359" s="5" t="s">
        <v>3628</v>
      </c>
      <c r="AK12359" s="5" t="s">
        <v>3625</v>
      </c>
    </row>
    <row r="12360" spans="35:37">
      <c r="AI12360" s="468">
        <v>54732</v>
      </c>
      <c r="AJ12360" s="5" t="s">
        <v>3617</v>
      </c>
      <c r="AK12360" s="5" t="s">
        <v>3627</v>
      </c>
    </row>
    <row r="12361" spans="35:37">
      <c r="AI12361" s="468">
        <v>54733</v>
      </c>
      <c r="AJ12361" s="5" t="s">
        <v>3619</v>
      </c>
      <c r="AK12361" s="5" t="s">
        <v>3618</v>
      </c>
    </row>
    <row r="12362" spans="35:37">
      <c r="AI12362" s="468">
        <v>54734</v>
      </c>
      <c r="AJ12362" s="5" t="s">
        <v>3621</v>
      </c>
      <c r="AK12362" s="5" t="s">
        <v>3620</v>
      </c>
    </row>
    <row r="12363" spans="35:37">
      <c r="AI12363" s="468">
        <v>54735</v>
      </c>
      <c r="AJ12363" s="5" t="s">
        <v>3579</v>
      </c>
      <c r="AK12363" s="5" t="s">
        <v>3622</v>
      </c>
    </row>
    <row r="12364" spans="35:37">
      <c r="AI12364" s="468">
        <v>54736</v>
      </c>
      <c r="AJ12364" s="5" t="s">
        <v>3624</v>
      </c>
      <c r="AK12364" s="5" t="s">
        <v>3623</v>
      </c>
    </row>
    <row r="12365" spans="35:37">
      <c r="AI12365" s="468">
        <v>54737</v>
      </c>
      <c r="AJ12365" s="5" t="s">
        <v>3626</v>
      </c>
      <c r="AK12365" s="5" t="s">
        <v>3625</v>
      </c>
    </row>
    <row r="12366" spans="35:37">
      <c r="AI12366" s="468">
        <v>54738</v>
      </c>
      <c r="AJ12366" s="5" t="s">
        <v>3628</v>
      </c>
      <c r="AK12366" s="5" t="s">
        <v>3627</v>
      </c>
    </row>
    <row r="12367" spans="35:37">
      <c r="AI12367" s="468">
        <v>54739</v>
      </c>
      <c r="AJ12367" s="5" t="s">
        <v>3617</v>
      </c>
      <c r="AK12367" s="5" t="s">
        <v>3618</v>
      </c>
    </row>
    <row r="12368" spans="35:37">
      <c r="AI12368" s="468">
        <v>54740</v>
      </c>
      <c r="AJ12368" s="5" t="s">
        <v>3619</v>
      </c>
      <c r="AK12368" s="5" t="s">
        <v>3620</v>
      </c>
    </row>
    <row r="12369" spans="35:37">
      <c r="AI12369" s="468">
        <v>54741</v>
      </c>
      <c r="AJ12369" s="5" t="s">
        <v>3621</v>
      </c>
      <c r="AK12369" s="5" t="s">
        <v>3622</v>
      </c>
    </row>
    <row r="12370" spans="35:37">
      <c r="AI12370" s="468">
        <v>54742</v>
      </c>
      <c r="AJ12370" s="5" t="s">
        <v>3579</v>
      </c>
      <c r="AK12370" s="5" t="s">
        <v>3623</v>
      </c>
    </row>
    <row r="12371" spans="35:37">
      <c r="AI12371" s="468">
        <v>54743</v>
      </c>
      <c r="AJ12371" s="5" t="s">
        <v>3624</v>
      </c>
      <c r="AK12371" s="5" t="s">
        <v>3625</v>
      </c>
    </row>
    <row r="12372" spans="35:37">
      <c r="AI12372" s="468">
        <v>54744</v>
      </c>
      <c r="AJ12372" s="5" t="s">
        <v>3626</v>
      </c>
      <c r="AK12372" s="5" t="s">
        <v>3627</v>
      </c>
    </row>
    <row r="12373" spans="35:37">
      <c r="AI12373" s="468">
        <v>54745</v>
      </c>
      <c r="AJ12373" s="5" t="s">
        <v>3628</v>
      </c>
      <c r="AK12373" s="5" t="s">
        <v>3618</v>
      </c>
    </row>
    <row r="12374" spans="35:37">
      <c r="AI12374" s="468">
        <v>54746</v>
      </c>
      <c r="AJ12374" s="5" t="s">
        <v>3617</v>
      </c>
      <c r="AK12374" s="5" t="s">
        <v>3620</v>
      </c>
    </row>
    <row r="12375" spans="35:37">
      <c r="AI12375" s="468">
        <v>54747</v>
      </c>
      <c r="AJ12375" s="5" t="s">
        <v>3619</v>
      </c>
      <c r="AK12375" s="5" t="s">
        <v>3622</v>
      </c>
    </row>
    <row r="12376" spans="35:37">
      <c r="AI12376" s="468">
        <v>54748</v>
      </c>
      <c r="AJ12376" s="5" t="s">
        <v>3621</v>
      </c>
      <c r="AK12376" s="5" t="s">
        <v>3623</v>
      </c>
    </row>
    <row r="12377" spans="35:37">
      <c r="AI12377" s="468">
        <v>54749</v>
      </c>
      <c r="AJ12377" s="5" t="s">
        <v>3579</v>
      </c>
      <c r="AK12377" s="5" t="s">
        <v>3625</v>
      </c>
    </row>
    <row r="12378" spans="35:37">
      <c r="AI12378" s="468">
        <v>54750</v>
      </c>
      <c r="AJ12378" s="5" t="s">
        <v>3624</v>
      </c>
      <c r="AK12378" s="5" t="s">
        <v>3627</v>
      </c>
    </row>
    <row r="12379" spans="35:37">
      <c r="AI12379" s="468">
        <v>54751</v>
      </c>
      <c r="AJ12379" s="5" t="s">
        <v>3626</v>
      </c>
      <c r="AK12379" s="5" t="s">
        <v>3618</v>
      </c>
    </row>
    <row r="12380" spans="35:37">
      <c r="AI12380" s="468">
        <v>54752</v>
      </c>
      <c r="AJ12380" s="5" t="s">
        <v>3628</v>
      </c>
      <c r="AK12380" s="5" t="s">
        <v>3623</v>
      </c>
    </row>
    <row r="12381" spans="35:37">
      <c r="AI12381" s="468">
        <v>54753</v>
      </c>
      <c r="AJ12381" s="5" t="s">
        <v>3617</v>
      </c>
      <c r="AK12381" s="5" t="s">
        <v>3625</v>
      </c>
    </row>
    <row r="12382" spans="35:37">
      <c r="AI12382" s="468">
        <v>54754</v>
      </c>
      <c r="AJ12382" s="5" t="s">
        <v>3619</v>
      </c>
      <c r="AK12382" s="5" t="s">
        <v>3627</v>
      </c>
    </row>
    <row r="12383" spans="35:37">
      <c r="AI12383" s="468">
        <v>54755</v>
      </c>
      <c r="AJ12383" s="5" t="s">
        <v>3621</v>
      </c>
      <c r="AK12383" s="5" t="s">
        <v>3618</v>
      </c>
    </row>
    <row r="12384" spans="35:37">
      <c r="AI12384" s="468">
        <v>54756</v>
      </c>
      <c r="AJ12384" s="5" t="s">
        <v>3579</v>
      </c>
      <c r="AK12384" s="5" t="s">
        <v>3620</v>
      </c>
    </row>
    <row r="12385" spans="35:37">
      <c r="AI12385" s="468">
        <v>54757</v>
      </c>
      <c r="AJ12385" s="5" t="s">
        <v>3624</v>
      </c>
      <c r="AK12385" s="5" t="s">
        <v>3622</v>
      </c>
    </row>
    <row r="12386" spans="35:37">
      <c r="AI12386" s="468">
        <v>54758</v>
      </c>
      <c r="AJ12386" s="5" t="s">
        <v>3626</v>
      </c>
      <c r="AK12386" s="5" t="s">
        <v>3623</v>
      </c>
    </row>
    <row r="12387" spans="35:37">
      <c r="AI12387" s="468">
        <v>54759</v>
      </c>
      <c r="AJ12387" s="5" t="s">
        <v>3628</v>
      </c>
      <c r="AK12387" s="5" t="s">
        <v>3625</v>
      </c>
    </row>
    <row r="12388" spans="35:37">
      <c r="AI12388" s="468">
        <v>54760</v>
      </c>
      <c r="AJ12388" s="5" t="s">
        <v>3617</v>
      </c>
      <c r="AK12388" s="5" t="s">
        <v>3627</v>
      </c>
    </row>
    <row r="12389" spans="35:37">
      <c r="AI12389" s="468">
        <v>54761</v>
      </c>
      <c r="AJ12389" s="5" t="s">
        <v>3619</v>
      </c>
      <c r="AK12389" s="5" t="s">
        <v>3618</v>
      </c>
    </row>
    <row r="12390" spans="35:37">
      <c r="AI12390" s="468">
        <v>54762</v>
      </c>
      <c r="AJ12390" s="5" t="s">
        <v>3621</v>
      </c>
      <c r="AK12390" s="5" t="s">
        <v>3620</v>
      </c>
    </row>
    <row r="12391" spans="35:37">
      <c r="AI12391" s="468">
        <v>54763</v>
      </c>
      <c r="AJ12391" s="5" t="s">
        <v>3579</v>
      </c>
      <c r="AK12391" s="5" t="s">
        <v>3622</v>
      </c>
    </row>
    <row r="12392" spans="35:37">
      <c r="AI12392" s="468">
        <v>54764</v>
      </c>
      <c r="AJ12392" s="5" t="s">
        <v>3624</v>
      </c>
      <c r="AK12392" s="5" t="s">
        <v>3623</v>
      </c>
    </row>
    <row r="12393" spans="35:37">
      <c r="AI12393" s="468">
        <v>54765</v>
      </c>
      <c r="AJ12393" s="5" t="s">
        <v>3626</v>
      </c>
      <c r="AK12393" s="5" t="s">
        <v>3625</v>
      </c>
    </row>
    <row r="12394" spans="35:37">
      <c r="AI12394" s="468">
        <v>54766</v>
      </c>
      <c r="AJ12394" s="5" t="s">
        <v>3628</v>
      </c>
      <c r="AK12394" s="5" t="s">
        <v>3627</v>
      </c>
    </row>
    <row r="12395" spans="35:37">
      <c r="AI12395" s="468">
        <v>54767</v>
      </c>
      <c r="AJ12395" s="5" t="s">
        <v>3617</v>
      </c>
      <c r="AK12395" s="5" t="s">
        <v>3618</v>
      </c>
    </row>
    <row r="12396" spans="35:37">
      <c r="AI12396" s="468">
        <v>54768</v>
      </c>
      <c r="AJ12396" s="5" t="s">
        <v>3619</v>
      </c>
      <c r="AK12396" s="5" t="s">
        <v>3620</v>
      </c>
    </row>
    <row r="12397" spans="35:37">
      <c r="AI12397" s="468">
        <v>54769</v>
      </c>
      <c r="AJ12397" s="5" t="s">
        <v>3621</v>
      </c>
      <c r="AK12397" s="5" t="s">
        <v>3622</v>
      </c>
    </row>
    <row r="12398" spans="35:37">
      <c r="AI12398" s="468">
        <v>54770</v>
      </c>
      <c r="AJ12398" s="5" t="s">
        <v>3579</v>
      </c>
      <c r="AK12398" s="5" t="s">
        <v>3623</v>
      </c>
    </row>
    <row r="12399" spans="35:37">
      <c r="AI12399" s="468">
        <v>54771</v>
      </c>
      <c r="AJ12399" s="5" t="s">
        <v>3624</v>
      </c>
      <c r="AK12399" s="5" t="s">
        <v>3625</v>
      </c>
    </row>
    <row r="12400" spans="35:37">
      <c r="AI12400" s="468">
        <v>54772</v>
      </c>
      <c r="AJ12400" s="5" t="s">
        <v>3626</v>
      </c>
      <c r="AK12400" s="5" t="s">
        <v>3627</v>
      </c>
    </row>
    <row r="12401" spans="35:37">
      <c r="AI12401" s="468">
        <v>54773</v>
      </c>
      <c r="AJ12401" s="5" t="s">
        <v>3628</v>
      </c>
      <c r="AK12401" s="5" t="s">
        <v>3618</v>
      </c>
    </row>
    <row r="12402" spans="35:37">
      <c r="AI12402" s="468">
        <v>54774</v>
      </c>
      <c r="AJ12402" s="5" t="s">
        <v>3617</v>
      </c>
      <c r="AK12402" s="5" t="s">
        <v>3620</v>
      </c>
    </row>
    <row r="12403" spans="35:37">
      <c r="AI12403" s="468">
        <v>54775</v>
      </c>
      <c r="AJ12403" s="5" t="s">
        <v>3619</v>
      </c>
      <c r="AK12403" s="5" t="s">
        <v>3622</v>
      </c>
    </row>
    <row r="12404" spans="35:37">
      <c r="AI12404" s="468">
        <v>54776</v>
      </c>
      <c r="AJ12404" s="5" t="s">
        <v>3621</v>
      </c>
      <c r="AK12404" s="5" t="s">
        <v>3623</v>
      </c>
    </row>
    <row r="12405" spans="35:37">
      <c r="AI12405" s="468">
        <v>54777</v>
      </c>
      <c r="AJ12405" s="5" t="s">
        <v>3579</v>
      </c>
      <c r="AK12405" s="5" t="s">
        <v>3625</v>
      </c>
    </row>
    <row r="12406" spans="35:37">
      <c r="AI12406" s="468">
        <v>54778</v>
      </c>
      <c r="AJ12406" s="5" t="s">
        <v>3624</v>
      </c>
      <c r="AK12406" s="5" t="s">
        <v>3627</v>
      </c>
    </row>
    <row r="12407" spans="35:37">
      <c r="AI12407" s="468">
        <v>54779</v>
      </c>
      <c r="AJ12407" s="5" t="s">
        <v>3626</v>
      </c>
      <c r="AK12407" s="5" t="s">
        <v>3618</v>
      </c>
    </row>
    <row r="12408" spans="35:37">
      <c r="AI12408" s="468">
        <v>54780</v>
      </c>
      <c r="AJ12408" s="5" t="s">
        <v>3628</v>
      </c>
      <c r="AK12408" s="5" t="s">
        <v>3620</v>
      </c>
    </row>
    <row r="12409" spans="35:37">
      <c r="AI12409" s="468">
        <v>54781</v>
      </c>
      <c r="AJ12409" s="5" t="s">
        <v>3617</v>
      </c>
      <c r="AK12409" s="5" t="s">
        <v>3622</v>
      </c>
    </row>
    <row r="12410" spans="35:37">
      <c r="AI12410" s="468">
        <v>54782</v>
      </c>
      <c r="AJ12410" s="5" t="s">
        <v>3619</v>
      </c>
      <c r="AK12410" s="5" t="s">
        <v>3625</v>
      </c>
    </row>
    <row r="12411" spans="35:37">
      <c r="AI12411" s="468">
        <v>54783</v>
      </c>
      <c r="AJ12411" s="5" t="s">
        <v>3621</v>
      </c>
      <c r="AK12411" s="5" t="s">
        <v>3627</v>
      </c>
    </row>
    <row r="12412" spans="35:37">
      <c r="AI12412" s="468">
        <v>54784</v>
      </c>
      <c r="AJ12412" s="5" t="s">
        <v>3579</v>
      </c>
      <c r="AK12412" s="5" t="s">
        <v>3618</v>
      </c>
    </row>
    <row r="12413" spans="35:37">
      <c r="AI12413" s="468">
        <v>54785</v>
      </c>
      <c r="AJ12413" s="5" t="s">
        <v>3624</v>
      </c>
      <c r="AK12413" s="5" t="s">
        <v>3620</v>
      </c>
    </row>
    <row r="12414" spans="35:37">
      <c r="AI12414" s="468">
        <v>54786</v>
      </c>
      <c r="AJ12414" s="5" t="s">
        <v>3626</v>
      </c>
      <c r="AK12414" s="5" t="s">
        <v>3622</v>
      </c>
    </row>
    <row r="12415" spans="35:37">
      <c r="AI12415" s="468">
        <v>54787</v>
      </c>
      <c r="AJ12415" s="5" t="s">
        <v>3628</v>
      </c>
      <c r="AK12415" s="5" t="s">
        <v>3623</v>
      </c>
    </row>
    <row r="12416" spans="35:37">
      <c r="AI12416" s="468">
        <v>54788</v>
      </c>
      <c r="AJ12416" s="5" t="s">
        <v>3617</v>
      </c>
      <c r="AK12416" s="5" t="s">
        <v>3625</v>
      </c>
    </row>
    <row r="12417" spans="35:37">
      <c r="AI12417" s="468">
        <v>54789</v>
      </c>
      <c r="AJ12417" s="5" t="s">
        <v>3619</v>
      </c>
      <c r="AK12417" s="5" t="s">
        <v>3627</v>
      </c>
    </row>
    <row r="12418" spans="35:37">
      <c r="AI12418" s="468">
        <v>54790</v>
      </c>
      <c r="AJ12418" s="5" t="s">
        <v>3621</v>
      </c>
      <c r="AK12418" s="5" t="s">
        <v>3618</v>
      </c>
    </row>
    <row r="12419" spans="35:37">
      <c r="AI12419" s="468">
        <v>54791</v>
      </c>
      <c r="AJ12419" s="5" t="s">
        <v>3579</v>
      </c>
      <c r="AK12419" s="5" t="s">
        <v>3620</v>
      </c>
    </row>
    <row r="12420" spans="35:37">
      <c r="AI12420" s="468">
        <v>54792</v>
      </c>
      <c r="AJ12420" s="5" t="s">
        <v>3624</v>
      </c>
      <c r="AK12420" s="5" t="s">
        <v>3622</v>
      </c>
    </row>
    <row r="12421" spans="35:37">
      <c r="AI12421" s="468">
        <v>54793</v>
      </c>
      <c r="AJ12421" s="5" t="s">
        <v>3626</v>
      </c>
      <c r="AK12421" s="5" t="s">
        <v>3623</v>
      </c>
    </row>
    <row r="12422" spans="35:37">
      <c r="AI12422" s="468">
        <v>54794</v>
      </c>
      <c r="AJ12422" s="5" t="s">
        <v>3628</v>
      </c>
      <c r="AK12422" s="5" t="s">
        <v>3625</v>
      </c>
    </row>
    <row r="12423" spans="35:37">
      <c r="AI12423" s="468">
        <v>54795</v>
      </c>
      <c r="AJ12423" s="5" t="s">
        <v>3617</v>
      </c>
      <c r="AK12423" s="5" t="s">
        <v>3627</v>
      </c>
    </row>
    <row r="12424" spans="35:37">
      <c r="AI12424" s="468">
        <v>54796</v>
      </c>
      <c r="AJ12424" s="5" t="s">
        <v>3619</v>
      </c>
      <c r="AK12424" s="5" t="s">
        <v>3618</v>
      </c>
    </row>
    <row r="12425" spans="35:37">
      <c r="AI12425" s="468">
        <v>54797</v>
      </c>
      <c r="AJ12425" s="5" t="s">
        <v>3621</v>
      </c>
      <c r="AK12425" s="5" t="s">
        <v>3620</v>
      </c>
    </row>
    <row r="12426" spans="35:37">
      <c r="AI12426" s="468">
        <v>54798</v>
      </c>
      <c r="AJ12426" s="5" t="s">
        <v>3579</v>
      </c>
      <c r="AK12426" s="5" t="s">
        <v>3622</v>
      </c>
    </row>
    <row r="12427" spans="35:37">
      <c r="AI12427" s="468">
        <v>54799</v>
      </c>
      <c r="AJ12427" s="5" t="s">
        <v>3624</v>
      </c>
      <c r="AK12427" s="5" t="s">
        <v>3623</v>
      </c>
    </row>
    <row r="12428" spans="35:37">
      <c r="AI12428" s="468">
        <v>54800</v>
      </c>
      <c r="AJ12428" s="5" t="s">
        <v>3626</v>
      </c>
      <c r="AK12428" s="5" t="s">
        <v>3625</v>
      </c>
    </row>
    <row r="12429" spans="35:37">
      <c r="AI12429" s="468">
        <v>54801</v>
      </c>
      <c r="AJ12429" s="5" t="s">
        <v>3628</v>
      </c>
      <c r="AK12429" s="5" t="s">
        <v>3627</v>
      </c>
    </row>
    <row r="12430" spans="35:37">
      <c r="AI12430" s="468">
        <v>54802</v>
      </c>
      <c r="AJ12430" s="5" t="s">
        <v>3617</v>
      </c>
      <c r="AK12430" s="5" t="s">
        <v>3618</v>
      </c>
    </row>
    <row r="12431" spans="35:37">
      <c r="AI12431" s="468">
        <v>54803</v>
      </c>
      <c r="AJ12431" s="5" t="s">
        <v>3619</v>
      </c>
      <c r="AK12431" s="5" t="s">
        <v>3620</v>
      </c>
    </row>
    <row r="12432" spans="35:37">
      <c r="AI12432" s="468">
        <v>54804</v>
      </c>
      <c r="AJ12432" s="5" t="s">
        <v>3621</v>
      </c>
      <c r="AK12432" s="5" t="s">
        <v>3622</v>
      </c>
    </row>
    <row r="12433" spans="35:37">
      <c r="AI12433" s="468">
        <v>54805</v>
      </c>
      <c r="AJ12433" s="5" t="s">
        <v>3579</v>
      </c>
      <c r="AK12433" s="5" t="s">
        <v>3623</v>
      </c>
    </row>
    <row r="12434" spans="35:37">
      <c r="AI12434" s="468">
        <v>54806</v>
      </c>
      <c r="AJ12434" s="5" t="s">
        <v>3624</v>
      </c>
      <c r="AK12434" s="5" t="s">
        <v>3625</v>
      </c>
    </row>
    <row r="12435" spans="35:37">
      <c r="AI12435" s="468">
        <v>54807</v>
      </c>
      <c r="AJ12435" s="5" t="s">
        <v>3626</v>
      </c>
      <c r="AK12435" s="5" t="s">
        <v>3627</v>
      </c>
    </row>
    <row r="12436" spans="35:37">
      <c r="AI12436" s="468">
        <v>54808</v>
      </c>
      <c r="AJ12436" s="5" t="s">
        <v>3628</v>
      </c>
      <c r="AK12436" s="5" t="s">
        <v>3618</v>
      </c>
    </row>
    <row r="12437" spans="35:37">
      <c r="AI12437" s="468">
        <v>54809</v>
      </c>
      <c r="AJ12437" s="5" t="s">
        <v>3617</v>
      </c>
      <c r="AK12437" s="5" t="s">
        <v>3620</v>
      </c>
    </row>
    <row r="12438" spans="35:37">
      <c r="AI12438" s="468">
        <v>54810</v>
      </c>
      <c r="AJ12438" s="5" t="s">
        <v>3619</v>
      </c>
      <c r="AK12438" s="5" t="s">
        <v>3622</v>
      </c>
    </row>
    <row r="12439" spans="35:37">
      <c r="AI12439" s="468">
        <v>54811</v>
      </c>
      <c r="AJ12439" s="5" t="s">
        <v>3621</v>
      </c>
      <c r="AK12439" s="5" t="s">
        <v>3627</v>
      </c>
    </row>
    <row r="12440" spans="35:37">
      <c r="AI12440" s="468">
        <v>54812</v>
      </c>
      <c r="AJ12440" s="5" t="s">
        <v>3579</v>
      </c>
      <c r="AK12440" s="5" t="s">
        <v>3618</v>
      </c>
    </row>
    <row r="12441" spans="35:37">
      <c r="AI12441" s="468">
        <v>54813</v>
      </c>
      <c r="AJ12441" s="5" t="s">
        <v>3624</v>
      </c>
      <c r="AK12441" s="5" t="s">
        <v>3620</v>
      </c>
    </row>
    <row r="12442" spans="35:37">
      <c r="AI12442" s="468">
        <v>54814</v>
      </c>
      <c r="AJ12442" s="5" t="s">
        <v>3626</v>
      </c>
      <c r="AK12442" s="5" t="s">
        <v>3622</v>
      </c>
    </row>
    <row r="12443" spans="35:37">
      <c r="AI12443" s="468">
        <v>54815</v>
      </c>
      <c r="AJ12443" s="5" t="s">
        <v>3628</v>
      </c>
      <c r="AK12443" s="5" t="s">
        <v>3623</v>
      </c>
    </row>
    <row r="12444" spans="35:37">
      <c r="AI12444" s="468">
        <v>54816</v>
      </c>
      <c r="AJ12444" s="5" t="s">
        <v>3617</v>
      </c>
      <c r="AK12444" s="5" t="s">
        <v>3625</v>
      </c>
    </row>
    <row r="12445" spans="35:37">
      <c r="AI12445" s="468">
        <v>54817</v>
      </c>
      <c r="AJ12445" s="5" t="s">
        <v>3619</v>
      </c>
      <c r="AK12445" s="5" t="s">
        <v>3627</v>
      </c>
    </row>
    <row r="12446" spans="35:37">
      <c r="AI12446" s="468">
        <v>54818</v>
      </c>
      <c r="AJ12446" s="5" t="s">
        <v>3621</v>
      </c>
      <c r="AK12446" s="5" t="s">
        <v>3618</v>
      </c>
    </row>
    <row r="12447" spans="35:37">
      <c r="AI12447" s="468">
        <v>54819</v>
      </c>
      <c r="AJ12447" s="5" t="s">
        <v>3579</v>
      </c>
      <c r="AK12447" s="5" t="s">
        <v>3620</v>
      </c>
    </row>
    <row r="12448" spans="35:37">
      <c r="AI12448" s="468">
        <v>54820</v>
      </c>
      <c r="AJ12448" s="5" t="s">
        <v>3624</v>
      </c>
      <c r="AK12448" s="5" t="s">
        <v>3622</v>
      </c>
    </row>
    <row r="12449" spans="35:37">
      <c r="AI12449" s="468">
        <v>54821</v>
      </c>
      <c r="AJ12449" s="5" t="s">
        <v>3626</v>
      </c>
      <c r="AK12449" s="5" t="s">
        <v>3623</v>
      </c>
    </row>
    <row r="12450" spans="35:37">
      <c r="AI12450" s="468">
        <v>54822</v>
      </c>
      <c r="AJ12450" s="5" t="s">
        <v>3628</v>
      </c>
      <c r="AK12450" s="5" t="s">
        <v>3625</v>
      </c>
    </row>
    <row r="12451" spans="35:37">
      <c r="AI12451" s="468">
        <v>54823</v>
      </c>
      <c r="AJ12451" s="5" t="s">
        <v>3617</v>
      </c>
      <c r="AK12451" s="5" t="s">
        <v>3627</v>
      </c>
    </row>
    <row r="12452" spans="35:37">
      <c r="AI12452" s="468">
        <v>54824</v>
      </c>
      <c r="AJ12452" s="5" t="s">
        <v>3619</v>
      </c>
      <c r="AK12452" s="5" t="s">
        <v>3618</v>
      </c>
    </row>
    <row r="12453" spans="35:37">
      <c r="AI12453" s="468">
        <v>54825</v>
      </c>
      <c r="AJ12453" s="5" t="s">
        <v>3621</v>
      </c>
      <c r="AK12453" s="5" t="s">
        <v>3620</v>
      </c>
    </row>
    <row r="12454" spans="35:37">
      <c r="AI12454" s="468">
        <v>54826</v>
      </c>
      <c r="AJ12454" s="5" t="s">
        <v>3579</v>
      </c>
      <c r="AK12454" s="5" t="s">
        <v>3622</v>
      </c>
    </row>
    <row r="12455" spans="35:37">
      <c r="AI12455" s="468">
        <v>54827</v>
      </c>
      <c r="AJ12455" s="5" t="s">
        <v>3624</v>
      </c>
      <c r="AK12455" s="5" t="s">
        <v>3623</v>
      </c>
    </row>
    <row r="12456" spans="35:37">
      <c r="AI12456" s="468">
        <v>54828</v>
      </c>
      <c r="AJ12456" s="5" t="s">
        <v>3626</v>
      </c>
      <c r="AK12456" s="5" t="s">
        <v>3625</v>
      </c>
    </row>
    <row r="12457" spans="35:37">
      <c r="AI12457" s="468">
        <v>54829</v>
      </c>
      <c r="AJ12457" s="5" t="s">
        <v>3628</v>
      </c>
      <c r="AK12457" s="5" t="s">
        <v>3627</v>
      </c>
    </row>
    <row r="12458" spans="35:37">
      <c r="AI12458" s="468">
        <v>54830</v>
      </c>
      <c r="AJ12458" s="5" t="s">
        <v>3617</v>
      </c>
      <c r="AK12458" s="5" t="s">
        <v>3618</v>
      </c>
    </row>
    <row r="12459" spans="35:37">
      <c r="AI12459" s="468">
        <v>54831</v>
      </c>
      <c r="AJ12459" s="5" t="s">
        <v>3619</v>
      </c>
      <c r="AK12459" s="5" t="s">
        <v>3620</v>
      </c>
    </row>
    <row r="12460" spans="35:37">
      <c r="AI12460" s="468">
        <v>54832</v>
      </c>
      <c r="AJ12460" s="5" t="s">
        <v>3621</v>
      </c>
      <c r="AK12460" s="5" t="s">
        <v>3622</v>
      </c>
    </row>
    <row r="12461" spans="35:37">
      <c r="AI12461" s="468">
        <v>54833</v>
      </c>
      <c r="AJ12461" s="5" t="s">
        <v>3579</v>
      </c>
      <c r="AK12461" s="5" t="s">
        <v>3623</v>
      </c>
    </row>
    <row r="12462" spans="35:37">
      <c r="AI12462" s="468">
        <v>54834</v>
      </c>
      <c r="AJ12462" s="5" t="s">
        <v>3624</v>
      </c>
      <c r="AK12462" s="5" t="s">
        <v>3625</v>
      </c>
    </row>
    <row r="12463" spans="35:37">
      <c r="AI12463" s="468">
        <v>54835</v>
      </c>
      <c r="AJ12463" s="5" t="s">
        <v>3626</v>
      </c>
      <c r="AK12463" s="5" t="s">
        <v>3627</v>
      </c>
    </row>
    <row r="12464" spans="35:37">
      <c r="AI12464" s="468">
        <v>54836</v>
      </c>
      <c r="AJ12464" s="5" t="s">
        <v>3628</v>
      </c>
      <c r="AK12464" s="5" t="s">
        <v>3618</v>
      </c>
    </row>
    <row r="12465" spans="35:37">
      <c r="AI12465" s="468">
        <v>54837</v>
      </c>
      <c r="AJ12465" s="5" t="s">
        <v>3617</v>
      </c>
      <c r="AK12465" s="5" t="s">
        <v>3620</v>
      </c>
    </row>
    <row r="12466" spans="35:37">
      <c r="AI12466" s="468">
        <v>54838</v>
      </c>
      <c r="AJ12466" s="5" t="s">
        <v>3619</v>
      </c>
      <c r="AK12466" s="5" t="s">
        <v>3622</v>
      </c>
    </row>
    <row r="12467" spans="35:37">
      <c r="AI12467" s="468">
        <v>54839</v>
      </c>
      <c r="AJ12467" s="5" t="s">
        <v>3621</v>
      </c>
      <c r="AK12467" s="5" t="s">
        <v>3623</v>
      </c>
    </row>
    <row r="12468" spans="35:37">
      <c r="AI12468" s="468">
        <v>54840</v>
      </c>
      <c r="AJ12468" s="5" t="s">
        <v>3579</v>
      </c>
      <c r="AK12468" s="5" t="s">
        <v>3625</v>
      </c>
    </row>
    <row r="12469" spans="35:37">
      <c r="AI12469" s="468">
        <v>54841</v>
      </c>
      <c r="AJ12469" s="5" t="s">
        <v>3624</v>
      </c>
      <c r="AK12469" s="5" t="s">
        <v>3618</v>
      </c>
    </row>
    <row r="12470" spans="35:37">
      <c r="AI12470" s="468">
        <v>54842</v>
      </c>
      <c r="AJ12470" s="5" t="s">
        <v>3626</v>
      </c>
      <c r="AK12470" s="5" t="s">
        <v>3620</v>
      </c>
    </row>
    <row r="12471" spans="35:37">
      <c r="AI12471" s="468">
        <v>54843</v>
      </c>
      <c r="AJ12471" s="5" t="s">
        <v>3628</v>
      </c>
      <c r="AK12471" s="5" t="s">
        <v>3622</v>
      </c>
    </row>
    <row r="12472" spans="35:37">
      <c r="AI12472" s="468">
        <v>54844</v>
      </c>
      <c r="AJ12472" s="5" t="s">
        <v>3617</v>
      </c>
      <c r="AK12472" s="5" t="s">
        <v>3623</v>
      </c>
    </row>
    <row r="12473" spans="35:37">
      <c r="AI12473" s="468">
        <v>54845</v>
      </c>
      <c r="AJ12473" s="5" t="s">
        <v>3619</v>
      </c>
      <c r="AK12473" s="5" t="s">
        <v>3625</v>
      </c>
    </row>
    <row r="12474" spans="35:37">
      <c r="AI12474" s="468">
        <v>54846</v>
      </c>
      <c r="AJ12474" s="5" t="s">
        <v>3621</v>
      </c>
      <c r="AK12474" s="5" t="s">
        <v>3627</v>
      </c>
    </row>
    <row r="12475" spans="35:37">
      <c r="AI12475" s="468">
        <v>54847</v>
      </c>
      <c r="AJ12475" s="5" t="s">
        <v>3579</v>
      </c>
      <c r="AK12475" s="5" t="s">
        <v>3618</v>
      </c>
    </row>
    <row r="12476" spans="35:37">
      <c r="AI12476" s="468">
        <v>54848</v>
      </c>
      <c r="AJ12476" s="5" t="s">
        <v>3624</v>
      </c>
      <c r="AK12476" s="5" t="s">
        <v>3620</v>
      </c>
    </row>
    <row r="12477" spans="35:37">
      <c r="AI12477" s="468">
        <v>54849</v>
      </c>
      <c r="AJ12477" s="5" t="s">
        <v>3626</v>
      </c>
      <c r="AK12477" s="5" t="s">
        <v>3622</v>
      </c>
    </row>
    <row r="12478" spans="35:37">
      <c r="AI12478" s="468">
        <v>54850</v>
      </c>
      <c r="AJ12478" s="5" t="s">
        <v>3628</v>
      </c>
      <c r="AK12478" s="5" t="s">
        <v>3623</v>
      </c>
    </row>
    <row r="12479" spans="35:37">
      <c r="AI12479" s="468">
        <v>54851</v>
      </c>
      <c r="AJ12479" s="5" t="s">
        <v>3617</v>
      </c>
      <c r="AK12479" s="5" t="s">
        <v>3625</v>
      </c>
    </row>
    <row r="12480" spans="35:37">
      <c r="AI12480" s="468">
        <v>54852</v>
      </c>
      <c r="AJ12480" s="5" t="s">
        <v>3619</v>
      </c>
      <c r="AK12480" s="5" t="s">
        <v>3627</v>
      </c>
    </row>
    <row r="12481" spans="35:37">
      <c r="AI12481" s="468">
        <v>54853</v>
      </c>
      <c r="AJ12481" s="5" t="s">
        <v>3621</v>
      </c>
      <c r="AK12481" s="5" t="s">
        <v>3618</v>
      </c>
    </row>
    <row r="12482" spans="35:37">
      <c r="AI12482" s="468">
        <v>54854</v>
      </c>
      <c r="AJ12482" s="5" t="s">
        <v>3579</v>
      </c>
      <c r="AK12482" s="5" t="s">
        <v>3620</v>
      </c>
    </row>
    <row r="12483" spans="35:37">
      <c r="AI12483" s="468">
        <v>54855</v>
      </c>
      <c r="AJ12483" s="5" t="s">
        <v>3624</v>
      </c>
      <c r="AK12483" s="5" t="s">
        <v>3622</v>
      </c>
    </row>
    <row r="12484" spans="35:37">
      <c r="AI12484" s="468">
        <v>54856</v>
      </c>
      <c r="AJ12484" s="5" t="s">
        <v>3626</v>
      </c>
      <c r="AK12484" s="5" t="s">
        <v>3623</v>
      </c>
    </row>
    <row r="12485" spans="35:37">
      <c r="AI12485" s="468">
        <v>54857</v>
      </c>
      <c r="AJ12485" s="5" t="s">
        <v>3628</v>
      </c>
      <c r="AK12485" s="5" t="s">
        <v>3625</v>
      </c>
    </row>
    <row r="12486" spans="35:37">
      <c r="AI12486" s="468">
        <v>54858</v>
      </c>
      <c r="AJ12486" s="5" t="s">
        <v>3617</v>
      </c>
      <c r="AK12486" s="5" t="s">
        <v>3627</v>
      </c>
    </row>
    <row r="12487" spans="35:37">
      <c r="AI12487" s="468">
        <v>54859</v>
      </c>
      <c r="AJ12487" s="5" t="s">
        <v>3619</v>
      </c>
      <c r="AK12487" s="5" t="s">
        <v>3618</v>
      </c>
    </row>
    <row r="12488" spans="35:37">
      <c r="AI12488" s="468">
        <v>54860</v>
      </c>
      <c r="AJ12488" s="5" t="s">
        <v>3621</v>
      </c>
      <c r="AK12488" s="5" t="s">
        <v>3620</v>
      </c>
    </row>
    <row r="12489" spans="35:37">
      <c r="AI12489" s="468">
        <v>54861</v>
      </c>
      <c r="AJ12489" s="5" t="s">
        <v>3579</v>
      </c>
      <c r="AK12489" s="5" t="s">
        <v>3622</v>
      </c>
    </row>
    <row r="12490" spans="35:37">
      <c r="AI12490" s="468">
        <v>54862</v>
      </c>
      <c r="AJ12490" s="5" t="s">
        <v>3624</v>
      </c>
      <c r="AK12490" s="5" t="s">
        <v>3623</v>
      </c>
    </row>
    <row r="12491" spans="35:37">
      <c r="AI12491" s="468">
        <v>54863</v>
      </c>
      <c r="AJ12491" s="5" t="s">
        <v>3626</v>
      </c>
      <c r="AK12491" s="5" t="s">
        <v>3625</v>
      </c>
    </row>
    <row r="12492" spans="35:37">
      <c r="AI12492" s="468">
        <v>54864</v>
      </c>
      <c r="AJ12492" s="5" t="s">
        <v>3628</v>
      </c>
      <c r="AK12492" s="5" t="s">
        <v>3627</v>
      </c>
    </row>
    <row r="12493" spans="35:37">
      <c r="AI12493" s="468">
        <v>54865</v>
      </c>
      <c r="AJ12493" s="5" t="s">
        <v>3617</v>
      </c>
      <c r="AK12493" s="5" t="s">
        <v>3618</v>
      </c>
    </row>
    <row r="12494" spans="35:37">
      <c r="AI12494" s="468">
        <v>54866</v>
      </c>
      <c r="AJ12494" s="5" t="s">
        <v>3619</v>
      </c>
      <c r="AK12494" s="5" t="s">
        <v>3620</v>
      </c>
    </row>
    <row r="12495" spans="35:37">
      <c r="AI12495" s="468">
        <v>54867</v>
      </c>
      <c r="AJ12495" s="5" t="s">
        <v>3621</v>
      </c>
      <c r="AK12495" s="5" t="s">
        <v>3622</v>
      </c>
    </row>
    <row r="12496" spans="35:37">
      <c r="AI12496" s="468">
        <v>54868</v>
      </c>
      <c r="AJ12496" s="5" t="s">
        <v>3579</v>
      </c>
      <c r="AK12496" s="5" t="s">
        <v>3623</v>
      </c>
    </row>
    <row r="12497" spans="35:37">
      <c r="AI12497" s="468">
        <v>54869</v>
      </c>
      <c r="AJ12497" s="5" t="s">
        <v>3624</v>
      </c>
      <c r="AK12497" s="5" t="s">
        <v>3625</v>
      </c>
    </row>
    <row r="12498" spans="35:37">
      <c r="AI12498" s="468">
        <v>54870</v>
      </c>
      <c r="AJ12498" s="5" t="s">
        <v>3626</v>
      </c>
      <c r="AK12498" s="5" t="s">
        <v>3620</v>
      </c>
    </row>
    <row r="12499" spans="35:37">
      <c r="AI12499" s="468">
        <v>54871</v>
      </c>
      <c r="AJ12499" s="5" t="s">
        <v>3628</v>
      </c>
      <c r="AK12499" s="5" t="s">
        <v>3622</v>
      </c>
    </row>
    <row r="12500" spans="35:37">
      <c r="AI12500" s="468">
        <v>54872</v>
      </c>
      <c r="AJ12500" s="5" t="s">
        <v>3617</v>
      </c>
      <c r="AK12500" s="5" t="s">
        <v>3623</v>
      </c>
    </row>
    <row r="12501" spans="35:37">
      <c r="AI12501" s="468">
        <v>54873</v>
      </c>
      <c r="AJ12501" s="5" t="s">
        <v>3619</v>
      </c>
      <c r="AK12501" s="5" t="s">
        <v>3625</v>
      </c>
    </row>
    <row r="12502" spans="35:37">
      <c r="AI12502" s="468">
        <v>54874</v>
      </c>
      <c r="AJ12502" s="5" t="s">
        <v>3621</v>
      </c>
      <c r="AK12502" s="5" t="s">
        <v>3627</v>
      </c>
    </row>
    <row r="12503" spans="35:37">
      <c r="AI12503" s="468">
        <v>54875</v>
      </c>
      <c r="AJ12503" s="5" t="s">
        <v>3579</v>
      </c>
      <c r="AK12503" s="5" t="s">
        <v>3618</v>
      </c>
    </row>
    <row r="12504" spans="35:37">
      <c r="AI12504" s="468">
        <v>54876</v>
      </c>
      <c r="AJ12504" s="5" t="s">
        <v>3624</v>
      </c>
      <c r="AK12504" s="5" t="s">
        <v>3620</v>
      </c>
    </row>
    <row r="12505" spans="35:37">
      <c r="AI12505" s="468">
        <v>54877</v>
      </c>
      <c r="AJ12505" s="5" t="s">
        <v>3626</v>
      </c>
      <c r="AK12505" s="5" t="s">
        <v>3622</v>
      </c>
    </row>
    <row r="12506" spans="35:37">
      <c r="AI12506" s="468">
        <v>54878</v>
      </c>
      <c r="AJ12506" s="5" t="s">
        <v>3628</v>
      </c>
      <c r="AK12506" s="5" t="s">
        <v>3623</v>
      </c>
    </row>
    <row r="12507" spans="35:37">
      <c r="AI12507" s="468">
        <v>54879</v>
      </c>
      <c r="AJ12507" s="5" t="s">
        <v>3617</v>
      </c>
      <c r="AK12507" s="5" t="s">
        <v>3625</v>
      </c>
    </row>
    <row r="12508" spans="35:37">
      <c r="AI12508" s="468">
        <v>54880</v>
      </c>
      <c r="AJ12508" s="5" t="s">
        <v>3619</v>
      </c>
      <c r="AK12508" s="5" t="s">
        <v>3627</v>
      </c>
    </row>
    <row r="12509" spans="35:37">
      <c r="AI12509" s="468">
        <v>54881</v>
      </c>
      <c r="AJ12509" s="5" t="s">
        <v>3621</v>
      </c>
      <c r="AK12509" s="5" t="s">
        <v>3618</v>
      </c>
    </row>
    <row r="12510" spans="35:37">
      <c r="AI12510" s="468">
        <v>54882</v>
      </c>
      <c r="AJ12510" s="5" t="s">
        <v>3579</v>
      </c>
      <c r="AK12510" s="5" t="s">
        <v>3620</v>
      </c>
    </row>
    <row r="12511" spans="35:37">
      <c r="AI12511" s="468">
        <v>54883</v>
      </c>
      <c r="AJ12511" s="5" t="s">
        <v>3624</v>
      </c>
      <c r="AK12511" s="5" t="s">
        <v>3622</v>
      </c>
    </row>
    <row r="12512" spans="35:37">
      <c r="AI12512" s="468">
        <v>54884</v>
      </c>
      <c r="AJ12512" s="5" t="s">
        <v>3626</v>
      </c>
      <c r="AK12512" s="5" t="s">
        <v>3623</v>
      </c>
    </row>
    <row r="12513" spans="35:37">
      <c r="AI12513" s="468">
        <v>54885</v>
      </c>
      <c r="AJ12513" s="5" t="s">
        <v>3628</v>
      </c>
      <c r="AK12513" s="5" t="s">
        <v>3625</v>
      </c>
    </row>
    <row r="12514" spans="35:37">
      <c r="AI12514" s="468">
        <v>54886</v>
      </c>
      <c r="AJ12514" s="5" t="s">
        <v>3617</v>
      </c>
      <c r="AK12514" s="5" t="s">
        <v>3627</v>
      </c>
    </row>
    <row r="12515" spans="35:37">
      <c r="AI12515" s="468">
        <v>54887</v>
      </c>
      <c r="AJ12515" s="5" t="s">
        <v>3619</v>
      </c>
      <c r="AK12515" s="5" t="s">
        <v>3618</v>
      </c>
    </row>
    <row r="12516" spans="35:37">
      <c r="AI12516" s="468">
        <v>54888</v>
      </c>
      <c r="AJ12516" s="5" t="s">
        <v>3621</v>
      </c>
      <c r="AK12516" s="5" t="s">
        <v>3620</v>
      </c>
    </row>
    <row r="12517" spans="35:37">
      <c r="AI12517" s="468">
        <v>54889</v>
      </c>
      <c r="AJ12517" s="5" t="s">
        <v>3579</v>
      </c>
      <c r="AK12517" s="5" t="s">
        <v>3622</v>
      </c>
    </row>
    <row r="12518" spans="35:37">
      <c r="AI12518" s="468">
        <v>54890</v>
      </c>
      <c r="AJ12518" s="5" t="s">
        <v>3624</v>
      </c>
      <c r="AK12518" s="5" t="s">
        <v>3623</v>
      </c>
    </row>
    <row r="12519" spans="35:37">
      <c r="AI12519" s="468">
        <v>54891</v>
      </c>
      <c r="AJ12519" s="5" t="s">
        <v>3626</v>
      </c>
      <c r="AK12519" s="5" t="s">
        <v>3625</v>
      </c>
    </row>
    <row r="12520" spans="35:37">
      <c r="AI12520" s="468">
        <v>54892</v>
      </c>
      <c r="AJ12520" s="5" t="s">
        <v>3628</v>
      </c>
      <c r="AK12520" s="5" t="s">
        <v>3627</v>
      </c>
    </row>
    <row r="12521" spans="35:37">
      <c r="AI12521" s="468">
        <v>54893</v>
      </c>
      <c r="AJ12521" s="5" t="s">
        <v>3617</v>
      </c>
      <c r="AK12521" s="5" t="s">
        <v>3618</v>
      </c>
    </row>
    <row r="12522" spans="35:37">
      <c r="AI12522" s="468">
        <v>54894</v>
      </c>
      <c r="AJ12522" s="5" t="s">
        <v>3619</v>
      </c>
      <c r="AK12522" s="5" t="s">
        <v>3620</v>
      </c>
    </row>
    <row r="12523" spans="35:37">
      <c r="AI12523" s="468">
        <v>54895</v>
      </c>
      <c r="AJ12523" s="5" t="s">
        <v>3621</v>
      </c>
      <c r="AK12523" s="5" t="s">
        <v>3622</v>
      </c>
    </row>
    <row r="12524" spans="35:37">
      <c r="AI12524" s="468">
        <v>54896</v>
      </c>
      <c r="AJ12524" s="5" t="s">
        <v>3579</v>
      </c>
      <c r="AK12524" s="5" t="s">
        <v>3623</v>
      </c>
    </row>
    <row r="12525" spans="35:37">
      <c r="AI12525" s="468">
        <v>54897</v>
      </c>
      <c r="AJ12525" s="5" t="s">
        <v>3624</v>
      </c>
      <c r="AK12525" s="5" t="s">
        <v>3625</v>
      </c>
    </row>
    <row r="12526" spans="35:37">
      <c r="AI12526" s="468">
        <v>54898</v>
      </c>
      <c r="AJ12526" s="5" t="s">
        <v>3626</v>
      </c>
      <c r="AK12526" s="5" t="s">
        <v>3627</v>
      </c>
    </row>
    <row r="12527" spans="35:37">
      <c r="AI12527" s="468">
        <v>54899</v>
      </c>
      <c r="AJ12527" s="5" t="s">
        <v>3628</v>
      </c>
      <c r="AK12527" s="5" t="s">
        <v>3620</v>
      </c>
    </row>
    <row r="12528" spans="35:37">
      <c r="AI12528" s="468">
        <v>54900</v>
      </c>
      <c r="AJ12528" s="5" t="s">
        <v>3617</v>
      </c>
      <c r="AK12528" s="5" t="s">
        <v>3622</v>
      </c>
    </row>
    <row r="12529" spans="35:37">
      <c r="AI12529" s="468">
        <v>54901</v>
      </c>
      <c r="AJ12529" s="5" t="s">
        <v>3619</v>
      </c>
      <c r="AK12529" s="5" t="s">
        <v>3623</v>
      </c>
    </row>
    <row r="12530" spans="35:37">
      <c r="AI12530" s="468">
        <v>54902</v>
      </c>
      <c r="AJ12530" s="5" t="s">
        <v>3621</v>
      </c>
      <c r="AK12530" s="5" t="s">
        <v>3625</v>
      </c>
    </row>
    <row r="12531" spans="35:37">
      <c r="AI12531" s="468">
        <v>54903</v>
      </c>
      <c r="AJ12531" s="5" t="s">
        <v>3579</v>
      </c>
      <c r="AK12531" s="5" t="s">
        <v>3627</v>
      </c>
    </row>
    <row r="12532" spans="35:37">
      <c r="AI12532" s="468">
        <v>54904</v>
      </c>
      <c r="AJ12532" s="5" t="s">
        <v>3624</v>
      </c>
      <c r="AK12532" s="5" t="s">
        <v>3618</v>
      </c>
    </row>
    <row r="12533" spans="35:37">
      <c r="AI12533" s="468">
        <v>54905</v>
      </c>
      <c r="AJ12533" s="5" t="s">
        <v>3626</v>
      </c>
      <c r="AK12533" s="5" t="s">
        <v>3620</v>
      </c>
    </row>
    <row r="12534" spans="35:37">
      <c r="AI12534" s="468">
        <v>54906</v>
      </c>
      <c r="AJ12534" s="5" t="s">
        <v>3628</v>
      </c>
      <c r="AK12534" s="5" t="s">
        <v>3622</v>
      </c>
    </row>
    <row r="12535" spans="35:37">
      <c r="AI12535" s="468">
        <v>54907</v>
      </c>
      <c r="AJ12535" s="5" t="s">
        <v>3617</v>
      </c>
      <c r="AK12535" s="5" t="s">
        <v>3623</v>
      </c>
    </row>
    <row r="12536" spans="35:37">
      <c r="AI12536" s="468">
        <v>54908</v>
      </c>
      <c r="AJ12536" s="5" t="s">
        <v>3619</v>
      </c>
      <c r="AK12536" s="5" t="s">
        <v>3625</v>
      </c>
    </row>
    <row r="12537" spans="35:37">
      <c r="AI12537" s="468">
        <v>54909</v>
      </c>
      <c r="AJ12537" s="5" t="s">
        <v>3621</v>
      </c>
      <c r="AK12537" s="5" t="s">
        <v>3627</v>
      </c>
    </row>
    <row r="12538" spans="35:37">
      <c r="AI12538" s="468">
        <v>54910</v>
      </c>
      <c r="AJ12538" s="5" t="s">
        <v>3579</v>
      </c>
      <c r="AK12538" s="5" t="s">
        <v>3618</v>
      </c>
    </row>
    <row r="12539" spans="35:37">
      <c r="AI12539" s="468">
        <v>54911</v>
      </c>
      <c r="AJ12539" s="5" t="s">
        <v>3624</v>
      </c>
      <c r="AK12539" s="5" t="s">
        <v>3620</v>
      </c>
    </row>
    <row r="12540" spans="35:37">
      <c r="AI12540" s="468">
        <v>54912</v>
      </c>
      <c r="AJ12540" s="5" t="s">
        <v>3626</v>
      </c>
      <c r="AK12540" s="5" t="s">
        <v>3622</v>
      </c>
    </row>
    <row r="12541" spans="35:37">
      <c r="AI12541" s="468">
        <v>54913</v>
      </c>
      <c r="AJ12541" s="5" t="s">
        <v>3628</v>
      </c>
      <c r="AK12541" s="5" t="s">
        <v>3623</v>
      </c>
    </row>
    <row r="12542" spans="35:37">
      <c r="AI12542" s="468">
        <v>54914</v>
      </c>
      <c r="AJ12542" s="5" t="s">
        <v>3617</v>
      </c>
      <c r="AK12542" s="5" t="s">
        <v>3625</v>
      </c>
    </row>
    <row r="12543" spans="35:37">
      <c r="AI12543" s="468">
        <v>54915</v>
      </c>
      <c r="AJ12543" s="5" t="s">
        <v>3619</v>
      </c>
      <c r="AK12543" s="5" t="s">
        <v>3627</v>
      </c>
    </row>
    <row r="12544" spans="35:37">
      <c r="AI12544" s="468">
        <v>54916</v>
      </c>
      <c r="AJ12544" s="5" t="s">
        <v>3621</v>
      </c>
      <c r="AK12544" s="5" t="s">
        <v>3618</v>
      </c>
    </row>
    <row r="12545" spans="35:37">
      <c r="AI12545" s="468">
        <v>54917</v>
      </c>
      <c r="AJ12545" s="5" t="s">
        <v>3579</v>
      </c>
      <c r="AK12545" s="5" t="s">
        <v>3620</v>
      </c>
    </row>
    <row r="12546" spans="35:37">
      <c r="AI12546" s="468">
        <v>54918</v>
      </c>
      <c r="AJ12546" s="5" t="s">
        <v>3624</v>
      </c>
      <c r="AK12546" s="5" t="s">
        <v>3622</v>
      </c>
    </row>
    <row r="12547" spans="35:37">
      <c r="AI12547" s="468">
        <v>54919</v>
      </c>
      <c r="AJ12547" s="5" t="s">
        <v>3626</v>
      </c>
      <c r="AK12547" s="5" t="s">
        <v>3623</v>
      </c>
    </row>
    <row r="12548" spans="35:37">
      <c r="AI12548" s="468">
        <v>54920</v>
      </c>
      <c r="AJ12548" s="5" t="s">
        <v>3628</v>
      </c>
      <c r="AK12548" s="5" t="s">
        <v>3625</v>
      </c>
    </row>
    <row r="12549" spans="35:37">
      <c r="AI12549" s="468">
        <v>54921</v>
      </c>
      <c r="AJ12549" s="5" t="s">
        <v>3617</v>
      </c>
      <c r="AK12549" s="5" t="s">
        <v>3627</v>
      </c>
    </row>
    <row r="12550" spans="35:37">
      <c r="AI12550" s="468">
        <v>54922</v>
      </c>
      <c r="AJ12550" s="5" t="s">
        <v>3619</v>
      </c>
      <c r="AK12550" s="5" t="s">
        <v>3618</v>
      </c>
    </row>
    <row r="12551" spans="35:37">
      <c r="AI12551" s="468">
        <v>54923</v>
      </c>
      <c r="AJ12551" s="5" t="s">
        <v>3621</v>
      </c>
      <c r="AK12551" s="5" t="s">
        <v>3620</v>
      </c>
    </row>
    <row r="12552" spans="35:37">
      <c r="AI12552" s="468">
        <v>54924</v>
      </c>
      <c r="AJ12552" s="5" t="s">
        <v>3579</v>
      </c>
      <c r="AK12552" s="5" t="s">
        <v>3622</v>
      </c>
    </row>
    <row r="12553" spans="35:37">
      <c r="AI12553" s="468">
        <v>54925</v>
      </c>
      <c r="AJ12553" s="5" t="s">
        <v>3624</v>
      </c>
      <c r="AK12553" s="5" t="s">
        <v>3623</v>
      </c>
    </row>
    <row r="12554" spans="35:37">
      <c r="AI12554" s="468">
        <v>54926</v>
      </c>
      <c r="AJ12554" s="5" t="s">
        <v>3626</v>
      </c>
      <c r="AK12554" s="5" t="s">
        <v>3625</v>
      </c>
    </row>
    <row r="12555" spans="35:37">
      <c r="AI12555" s="468">
        <v>54927</v>
      </c>
      <c r="AJ12555" s="5" t="s">
        <v>3628</v>
      </c>
      <c r="AK12555" s="5" t="s">
        <v>3627</v>
      </c>
    </row>
    <row r="12556" spans="35:37">
      <c r="AI12556" s="468">
        <v>54928</v>
      </c>
      <c r="AJ12556" s="5" t="s">
        <v>3617</v>
      </c>
      <c r="AK12556" s="5" t="s">
        <v>3618</v>
      </c>
    </row>
    <row r="12557" spans="35:37">
      <c r="AI12557" s="468">
        <v>54929</v>
      </c>
      <c r="AJ12557" s="5" t="s">
        <v>3619</v>
      </c>
      <c r="AK12557" s="5" t="s">
        <v>3622</v>
      </c>
    </row>
    <row r="12558" spans="35:37">
      <c r="AI12558" s="468">
        <v>54930</v>
      </c>
      <c r="AJ12558" s="5" t="s">
        <v>3621</v>
      </c>
      <c r="AK12558" s="5" t="s">
        <v>3623</v>
      </c>
    </row>
    <row r="12559" spans="35:37">
      <c r="AI12559" s="468">
        <v>54931</v>
      </c>
      <c r="AJ12559" s="5" t="s">
        <v>3579</v>
      </c>
      <c r="AK12559" s="5" t="s">
        <v>3625</v>
      </c>
    </row>
    <row r="12560" spans="35:37">
      <c r="AI12560" s="468">
        <v>54932</v>
      </c>
      <c r="AJ12560" s="5" t="s">
        <v>3624</v>
      </c>
      <c r="AK12560" s="5" t="s">
        <v>3627</v>
      </c>
    </row>
    <row r="12561" spans="35:37">
      <c r="AI12561" s="468">
        <v>54933</v>
      </c>
      <c r="AJ12561" s="5" t="s">
        <v>3626</v>
      </c>
      <c r="AK12561" s="5" t="s">
        <v>3618</v>
      </c>
    </row>
    <row r="12562" spans="35:37">
      <c r="AI12562" s="468">
        <v>54934</v>
      </c>
      <c r="AJ12562" s="5" t="s">
        <v>3628</v>
      </c>
      <c r="AK12562" s="5" t="s">
        <v>3620</v>
      </c>
    </row>
    <row r="12563" spans="35:37">
      <c r="AI12563" s="468">
        <v>54935</v>
      </c>
      <c r="AJ12563" s="5" t="s">
        <v>3617</v>
      </c>
      <c r="AK12563" s="5" t="s">
        <v>3622</v>
      </c>
    </row>
    <row r="12564" spans="35:37">
      <c r="AI12564" s="468">
        <v>54936</v>
      </c>
      <c r="AJ12564" s="5" t="s">
        <v>3619</v>
      </c>
      <c r="AK12564" s="5" t="s">
        <v>3623</v>
      </c>
    </row>
    <row r="12565" spans="35:37">
      <c r="AI12565" s="468">
        <v>54937</v>
      </c>
      <c r="AJ12565" s="5" t="s">
        <v>3621</v>
      </c>
      <c r="AK12565" s="5" t="s">
        <v>3625</v>
      </c>
    </row>
    <row r="12566" spans="35:37">
      <c r="AI12566" s="468">
        <v>54938</v>
      </c>
      <c r="AJ12566" s="5" t="s">
        <v>3579</v>
      </c>
      <c r="AK12566" s="5" t="s">
        <v>3627</v>
      </c>
    </row>
    <row r="12567" spans="35:37">
      <c r="AI12567" s="468">
        <v>54939</v>
      </c>
      <c r="AJ12567" s="5" t="s">
        <v>3624</v>
      </c>
      <c r="AK12567" s="5" t="s">
        <v>3618</v>
      </c>
    </row>
    <row r="12568" spans="35:37">
      <c r="AI12568" s="468">
        <v>54940</v>
      </c>
      <c r="AJ12568" s="5" t="s">
        <v>3626</v>
      </c>
      <c r="AK12568" s="5" t="s">
        <v>3620</v>
      </c>
    </row>
    <row r="12569" spans="35:37">
      <c r="AI12569" s="468">
        <v>54941</v>
      </c>
      <c r="AJ12569" s="5" t="s">
        <v>3628</v>
      </c>
      <c r="AK12569" s="5" t="s">
        <v>3622</v>
      </c>
    </row>
    <row r="12570" spans="35:37">
      <c r="AI12570" s="468">
        <v>54942</v>
      </c>
      <c r="AJ12570" s="5" t="s">
        <v>3617</v>
      </c>
      <c r="AK12570" s="5" t="s">
        <v>3623</v>
      </c>
    </row>
    <row r="12571" spans="35:37">
      <c r="AI12571" s="468">
        <v>54943</v>
      </c>
      <c r="AJ12571" s="5" t="s">
        <v>3619</v>
      </c>
      <c r="AK12571" s="5" t="s">
        <v>3625</v>
      </c>
    </row>
    <row r="12572" spans="35:37">
      <c r="AI12572" s="468">
        <v>54944</v>
      </c>
      <c r="AJ12572" s="5" t="s">
        <v>3621</v>
      </c>
      <c r="AK12572" s="5" t="s">
        <v>3627</v>
      </c>
    </row>
    <row r="12573" spans="35:37">
      <c r="AI12573" s="468">
        <v>54945</v>
      </c>
      <c r="AJ12573" s="5" t="s">
        <v>3579</v>
      </c>
      <c r="AK12573" s="5" t="s">
        <v>3618</v>
      </c>
    </row>
    <row r="12574" spans="35:37">
      <c r="AI12574" s="468">
        <v>54946</v>
      </c>
      <c r="AJ12574" s="5" t="s">
        <v>3624</v>
      </c>
      <c r="AK12574" s="5" t="s">
        <v>3620</v>
      </c>
    </row>
    <row r="12575" spans="35:37">
      <c r="AI12575" s="468">
        <v>54947</v>
      </c>
      <c r="AJ12575" s="5" t="s">
        <v>3626</v>
      </c>
      <c r="AK12575" s="5" t="s">
        <v>3622</v>
      </c>
    </row>
    <row r="12576" spans="35:37">
      <c r="AI12576" s="468">
        <v>54948</v>
      </c>
      <c r="AJ12576" s="5" t="s">
        <v>3628</v>
      </c>
      <c r="AK12576" s="5" t="s">
        <v>3623</v>
      </c>
    </row>
    <row r="12577" spans="35:37">
      <c r="AI12577" s="468">
        <v>54949</v>
      </c>
      <c r="AJ12577" s="5" t="s">
        <v>3617</v>
      </c>
      <c r="AK12577" s="5" t="s">
        <v>3625</v>
      </c>
    </row>
    <row r="12578" spans="35:37">
      <c r="AI12578" s="468">
        <v>54950</v>
      </c>
      <c r="AJ12578" s="5" t="s">
        <v>3619</v>
      </c>
      <c r="AK12578" s="5" t="s">
        <v>3627</v>
      </c>
    </row>
    <row r="12579" spans="35:37">
      <c r="AI12579" s="468">
        <v>54951</v>
      </c>
      <c r="AJ12579" s="5" t="s">
        <v>3621</v>
      </c>
      <c r="AK12579" s="5" t="s">
        <v>3618</v>
      </c>
    </row>
    <row r="12580" spans="35:37">
      <c r="AI12580" s="468">
        <v>54952</v>
      </c>
      <c r="AJ12580" s="5" t="s">
        <v>3579</v>
      </c>
      <c r="AK12580" s="5" t="s">
        <v>3620</v>
      </c>
    </row>
    <row r="12581" spans="35:37">
      <c r="AI12581" s="468">
        <v>54953</v>
      </c>
      <c r="AJ12581" s="5" t="s">
        <v>3624</v>
      </c>
      <c r="AK12581" s="5" t="s">
        <v>3622</v>
      </c>
    </row>
    <row r="12582" spans="35:37">
      <c r="AI12582" s="468">
        <v>54954</v>
      </c>
      <c r="AJ12582" s="5" t="s">
        <v>3626</v>
      </c>
      <c r="AK12582" s="5" t="s">
        <v>3623</v>
      </c>
    </row>
    <row r="12583" spans="35:37">
      <c r="AI12583" s="468">
        <v>54955</v>
      </c>
      <c r="AJ12583" s="5" t="s">
        <v>3628</v>
      </c>
      <c r="AK12583" s="5" t="s">
        <v>3625</v>
      </c>
    </row>
    <row r="12584" spans="35:37">
      <c r="AI12584" s="468">
        <v>54956</v>
      </c>
      <c r="AJ12584" s="5" t="s">
        <v>3617</v>
      </c>
      <c r="AK12584" s="5" t="s">
        <v>3627</v>
      </c>
    </row>
    <row r="12585" spans="35:37">
      <c r="AI12585" s="468">
        <v>54957</v>
      </c>
      <c r="AJ12585" s="5" t="s">
        <v>3619</v>
      </c>
      <c r="AK12585" s="5" t="s">
        <v>3618</v>
      </c>
    </row>
    <row r="12586" spans="35:37">
      <c r="AI12586" s="468">
        <v>54958</v>
      </c>
      <c r="AJ12586" s="5" t="s">
        <v>3621</v>
      </c>
      <c r="AK12586" s="5" t="s">
        <v>3623</v>
      </c>
    </row>
    <row r="12587" spans="35:37">
      <c r="AI12587" s="468">
        <v>54959</v>
      </c>
      <c r="AJ12587" s="5" t="s">
        <v>3579</v>
      </c>
      <c r="AK12587" s="5" t="s">
        <v>3625</v>
      </c>
    </row>
    <row r="12588" spans="35:37">
      <c r="AI12588" s="468">
        <v>54960</v>
      </c>
      <c r="AJ12588" s="5" t="s">
        <v>3624</v>
      </c>
      <c r="AK12588" s="5" t="s">
        <v>3627</v>
      </c>
    </row>
    <row r="12589" spans="35:37">
      <c r="AI12589" s="468">
        <v>54961</v>
      </c>
      <c r="AJ12589" s="5" t="s">
        <v>3626</v>
      </c>
      <c r="AK12589" s="5" t="s">
        <v>3618</v>
      </c>
    </row>
    <row r="12590" spans="35:37">
      <c r="AI12590" s="468">
        <v>54962</v>
      </c>
      <c r="AJ12590" s="5" t="s">
        <v>3628</v>
      </c>
      <c r="AK12590" s="5" t="s">
        <v>3620</v>
      </c>
    </row>
    <row r="12591" spans="35:37">
      <c r="AI12591" s="468">
        <v>54963</v>
      </c>
      <c r="AJ12591" s="5" t="s">
        <v>3617</v>
      </c>
      <c r="AK12591" s="5" t="s">
        <v>3622</v>
      </c>
    </row>
    <row r="12592" spans="35:37">
      <c r="AI12592" s="468">
        <v>54964</v>
      </c>
      <c r="AJ12592" s="5" t="s">
        <v>3619</v>
      </c>
      <c r="AK12592" s="5" t="s">
        <v>3623</v>
      </c>
    </row>
    <row r="12593" spans="35:37">
      <c r="AI12593" s="468">
        <v>54965</v>
      </c>
      <c r="AJ12593" s="5" t="s">
        <v>3621</v>
      </c>
      <c r="AK12593" s="5" t="s">
        <v>3625</v>
      </c>
    </row>
    <row r="12594" spans="35:37">
      <c r="AI12594" s="468">
        <v>54966</v>
      </c>
      <c r="AJ12594" s="5" t="s">
        <v>3579</v>
      </c>
      <c r="AK12594" s="5" t="s">
        <v>3627</v>
      </c>
    </row>
    <row r="12595" spans="35:37">
      <c r="AI12595" s="468">
        <v>54967</v>
      </c>
      <c r="AJ12595" s="5" t="s">
        <v>3624</v>
      </c>
      <c r="AK12595" s="5" t="s">
        <v>3618</v>
      </c>
    </row>
    <row r="12596" spans="35:37">
      <c r="AI12596" s="468">
        <v>54968</v>
      </c>
      <c r="AJ12596" s="5" t="s">
        <v>3626</v>
      </c>
      <c r="AK12596" s="5" t="s">
        <v>3620</v>
      </c>
    </row>
    <row r="12597" spans="35:37">
      <c r="AI12597" s="468">
        <v>54969</v>
      </c>
      <c r="AJ12597" s="5" t="s">
        <v>3628</v>
      </c>
      <c r="AK12597" s="5" t="s">
        <v>3622</v>
      </c>
    </row>
    <row r="12598" spans="35:37">
      <c r="AI12598" s="468">
        <v>54970</v>
      </c>
      <c r="AJ12598" s="5" t="s">
        <v>3617</v>
      </c>
      <c r="AK12598" s="5" t="s">
        <v>3623</v>
      </c>
    </row>
    <row r="12599" spans="35:37">
      <c r="AI12599" s="468">
        <v>54971</v>
      </c>
      <c r="AJ12599" s="5" t="s">
        <v>3619</v>
      </c>
      <c r="AK12599" s="5" t="s">
        <v>3625</v>
      </c>
    </row>
    <row r="12600" spans="35:37">
      <c r="AI12600" s="468">
        <v>54972</v>
      </c>
      <c r="AJ12600" s="5" t="s">
        <v>3621</v>
      </c>
      <c r="AK12600" s="5" t="s">
        <v>3627</v>
      </c>
    </row>
    <row r="12601" spans="35:37">
      <c r="AI12601" s="468">
        <v>54973</v>
      </c>
      <c r="AJ12601" s="5" t="s">
        <v>3579</v>
      </c>
      <c r="AK12601" s="5" t="s">
        <v>3618</v>
      </c>
    </row>
    <row r="12602" spans="35:37">
      <c r="AI12602" s="468">
        <v>54974</v>
      </c>
      <c r="AJ12602" s="5" t="s">
        <v>3624</v>
      </c>
      <c r="AK12602" s="5" t="s">
        <v>3620</v>
      </c>
    </row>
    <row r="12603" spans="35:37">
      <c r="AI12603" s="468">
        <v>54975</v>
      </c>
      <c r="AJ12603" s="5" t="s">
        <v>3626</v>
      </c>
      <c r="AK12603" s="5" t="s">
        <v>3622</v>
      </c>
    </row>
    <row r="12604" spans="35:37">
      <c r="AI12604" s="468">
        <v>54976</v>
      </c>
      <c r="AJ12604" s="5" t="s">
        <v>3628</v>
      </c>
      <c r="AK12604" s="5" t="s">
        <v>3623</v>
      </c>
    </row>
    <row r="12605" spans="35:37">
      <c r="AI12605" s="468">
        <v>54977</v>
      </c>
      <c r="AJ12605" s="5" t="s">
        <v>3617</v>
      </c>
      <c r="AK12605" s="5" t="s">
        <v>3625</v>
      </c>
    </row>
    <row r="12606" spans="35:37">
      <c r="AI12606" s="468">
        <v>54978</v>
      </c>
      <c r="AJ12606" s="5" t="s">
        <v>3619</v>
      </c>
      <c r="AK12606" s="5" t="s">
        <v>3627</v>
      </c>
    </row>
    <row r="12607" spans="35:37">
      <c r="AI12607" s="468">
        <v>54979</v>
      </c>
      <c r="AJ12607" s="5" t="s">
        <v>3621</v>
      </c>
      <c r="AK12607" s="5" t="s">
        <v>3618</v>
      </c>
    </row>
    <row r="12608" spans="35:37">
      <c r="AI12608" s="468">
        <v>54980</v>
      </c>
      <c r="AJ12608" s="5" t="s">
        <v>3579</v>
      </c>
      <c r="AK12608" s="5" t="s">
        <v>3620</v>
      </c>
    </row>
    <row r="12609" spans="35:37">
      <c r="AI12609" s="468">
        <v>54981</v>
      </c>
      <c r="AJ12609" s="5" t="s">
        <v>3624</v>
      </c>
      <c r="AK12609" s="5" t="s">
        <v>3622</v>
      </c>
    </row>
    <row r="12610" spans="35:37">
      <c r="AI12610" s="468">
        <v>54982</v>
      </c>
      <c r="AJ12610" s="5" t="s">
        <v>3626</v>
      </c>
      <c r="AK12610" s="5" t="s">
        <v>3623</v>
      </c>
    </row>
    <row r="12611" spans="35:37">
      <c r="AI12611" s="468">
        <v>54983</v>
      </c>
      <c r="AJ12611" s="5" t="s">
        <v>3628</v>
      </c>
      <c r="AK12611" s="5" t="s">
        <v>3625</v>
      </c>
    </row>
    <row r="12612" spans="35:37">
      <c r="AI12612" s="468">
        <v>54984</v>
      </c>
      <c r="AJ12612" s="5" t="s">
        <v>3617</v>
      </c>
      <c r="AK12612" s="5" t="s">
        <v>3627</v>
      </c>
    </row>
    <row r="12613" spans="35:37">
      <c r="AI12613" s="468">
        <v>54985</v>
      </c>
      <c r="AJ12613" s="5" t="s">
        <v>3619</v>
      </c>
      <c r="AK12613" s="5" t="s">
        <v>3618</v>
      </c>
    </row>
    <row r="12614" spans="35:37">
      <c r="AI12614" s="468">
        <v>54986</v>
      </c>
      <c r="AJ12614" s="5" t="s">
        <v>3621</v>
      </c>
      <c r="AK12614" s="5" t="s">
        <v>3620</v>
      </c>
    </row>
    <row r="12615" spans="35:37">
      <c r="AI12615" s="468">
        <v>54987</v>
      </c>
      <c r="AJ12615" s="5" t="s">
        <v>3579</v>
      </c>
      <c r="AK12615" s="5" t="s">
        <v>3622</v>
      </c>
    </row>
    <row r="12616" spans="35:37">
      <c r="AI12616" s="468">
        <v>54988</v>
      </c>
      <c r="AJ12616" s="5" t="s">
        <v>3624</v>
      </c>
      <c r="AK12616" s="5" t="s">
        <v>3625</v>
      </c>
    </row>
    <row r="12617" spans="35:37">
      <c r="AI12617" s="468">
        <v>54989</v>
      </c>
      <c r="AJ12617" s="5" t="s">
        <v>3626</v>
      </c>
      <c r="AK12617" s="5" t="s">
        <v>3627</v>
      </c>
    </row>
    <row r="12618" spans="35:37">
      <c r="AI12618" s="468">
        <v>54990</v>
      </c>
      <c r="AJ12618" s="5" t="s">
        <v>3628</v>
      </c>
      <c r="AK12618" s="5" t="s">
        <v>3618</v>
      </c>
    </row>
    <row r="12619" spans="35:37">
      <c r="AI12619" s="468">
        <v>54991</v>
      </c>
      <c r="AJ12619" s="5" t="s">
        <v>3617</v>
      </c>
      <c r="AK12619" s="5" t="s">
        <v>3620</v>
      </c>
    </row>
    <row r="12620" spans="35:37">
      <c r="AI12620" s="468">
        <v>54992</v>
      </c>
      <c r="AJ12620" s="5" t="s">
        <v>3619</v>
      </c>
      <c r="AK12620" s="5" t="s">
        <v>3622</v>
      </c>
    </row>
    <row r="12621" spans="35:37">
      <c r="AI12621" s="468">
        <v>54993</v>
      </c>
      <c r="AJ12621" s="5" t="s">
        <v>3621</v>
      </c>
      <c r="AK12621" s="5" t="s">
        <v>3623</v>
      </c>
    </row>
    <row r="12622" spans="35:37">
      <c r="AI12622" s="468">
        <v>54994</v>
      </c>
      <c r="AJ12622" s="5" t="s">
        <v>3579</v>
      </c>
      <c r="AK12622" s="5" t="s">
        <v>3625</v>
      </c>
    </row>
    <row r="12623" spans="35:37">
      <c r="AI12623" s="468">
        <v>54995</v>
      </c>
      <c r="AJ12623" s="5" t="s">
        <v>3624</v>
      </c>
      <c r="AK12623" s="5" t="s">
        <v>3627</v>
      </c>
    </row>
    <row r="12624" spans="35:37">
      <c r="AI12624" s="468">
        <v>54996</v>
      </c>
      <c r="AJ12624" s="5" t="s">
        <v>3626</v>
      </c>
      <c r="AK12624" s="5" t="s">
        <v>3618</v>
      </c>
    </row>
    <row r="12625" spans="35:37">
      <c r="AI12625" s="468">
        <v>54997</v>
      </c>
      <c r="AJ12625" s="5" t="s">
        <v>3628</v>
      </c>
      <c r="AK12625" s="5" t="s">
        <v>3620</v>
      </c>
    </row>
    <row r="12626" spans="35:37">
      <c r="AI12626" s="468">
        <v>54998</v>
      </c>
      <c r="AJ12626" s="5" t="s">
        <v>3617</v>
      </c>
      <c r="AK12626" s="5" t="s">
        <v>3622</v>
      </c>
    </row>
    <row r="12627" spans="35:37">
      <c r="AI12627" s="468">
        <v>54999</v>
      </c>
      <c r="AJ12627" s="5" t="s">
        <v>3619</v>
      </c>
      <c r="AK12627" s="5" t="s">
        <v>3623</v>
      </c>
    </row>
    <row r="12628" spans="35:37">
      <c r="AI12628" s="468">
        <v>55000</v>
      </c>
      <c r="AJ12628" s="5" t="s">
        <v>3621</v>
      </c>
      <c r="AK12628" s="5" t="s">
        <v>3625</v>
      </c>
    </row>
    <row r="12629" spans="35:37">
      <c r="AI12629" s="468">
        <v>55001</v>
      </c>
      <c r="AJ12629" s="5" t="s">
        <v>3579</v>
      </c>
      <c r="AK12629" s="5" t="s">
        <v>3627</v>
      </c>
    </row>
    <row r="12630" spans="35:37">
      <c r="AI12630" s="468">
        <v>55002</v>
      </c>
      <c r="AJ12630" s="5" t="s">
        <v>3624</v>
      </c>
      <c r="AK12630" s="5" t="s">
        <v>3618</v>
      </c>
    </row>
    <row r="12631" spans="35:37">
      <c r="AI12631" s="468">
        <v>55003</v>
      </c>
      <c r="AJ12631" s="5" t="s">
        <v>3626</v>
      </c>
      <c r="AK12631" s="5" t="s">
        <v>3620</v>
      </c>
    </row>
    <row r="12632" spans="35:37">
      <c r="AI12632" s="468">
        <v>55004</v>
      </c>
      <c r="AJ12632" s="5" t="s">
        <v>3628</v>
      </c>
      <c r="AK12632" s="5" t="s">
        <v>3622</v>
      </c>
    </row>
    <row r="12633" spans="35:37">
      <c r="AI12633" s="468">
        <v>55005</v>
      </c>
      <c r="AJ12633" s="5" t="s">
        <v>3617</v>
      </c>
      <c r="AK12633" s="5" t="s">
        <v>3623</v>
      </c>
    </row>
    <row r="12634" spans="35:37">
      <c r="AI12634" s="468">
        <v>55006</v>
      </c>
      <c r="AJ12634" s="5" t="s">
        <v>3619</v>
      </c>
      <c r="AK12634" s="5" t="s">
        <v>3625</v>
      </c>
    </row>
    <row r="12635" spans="35:37">
      <c r="AI12635" s="468">
        <v>55007</v>
      </c>
      <c r="AJ12635" s="5" t="s">
        <v>3621</v>
      </c>
      <c r="AK12635" s="5" t="s">
        <v>3627</v>
      </c>
    </row>
    <row r="12636" spans="35:37">
      <c r="AI12636" s="468">
        <v>55008</v>
      </c>
      <c r="AJ12636" s="5" t="s">
        <v>3579</v>
      </c>
      <c r="AK12636" s="5" t="s">
        <v>3618</v>
      </c>
    </row>
    <row r="12637" spans="35:37">
      <c r="AI12637" s="468">
        <v>55009</v>
      </c>
      <c r="AJ12637" s="5" t="s">
        <v>3624</v>
      </c>
      <c r="AK12637" s="5" t="s">
        <v>3620</v>
      </c>
    </row>
    <row r="12638" spans="35:37">
      <c r="AI12638" s="468">
        <v>55010</v>
      </c>
      <c r="AJ12638" s="5" t="s">
        <v>3626</v>
      </c>
      <c r="AK12638" s="5" t="s">
        <v>3622</v>
      </c>
    </row>
    <row r="12639" spans="35:37">
      <c r="AI12639" s="468">
        <v>55011</v>
      </c>
      <c r="AJ12639" s="5" t="s">
        <v>3628</v>
      </c>
      <c r="AK12639" s="5" t="s">
        <v>3623</v>
      </c>
    </row>
    <row r="12640" spans="35:37">
      <c r="AI12640" s="468">
        <v>55012</v>
      </c>
      <c r="AJ12640" s="5" t="s">
        <v>3617</v>
      </c>
      <c r="AK12640" s="5" t="s">
        <v>3625</v>
      </c>
    </row>
    <row r="12641" spans="35:37">
      <c r="AI12641" s="468">
        <v>55013</v>
      </c>
      <c r="AJ12641" s="5" t="s">
        <v>3619</v>
      </c>
      <c r="AK12641" s="5" t="s">
        <v>3627</v>
      </c>
    </row>
    <row r="12642" spans="35:37">
      <c r="AI12642" s="468">
        <v>55014</v>
      </c>
      <c r="AJ12642" s="5" t="s">
        <v>3621</v>
      </c>
      <c r="AK12642" s="5" t="s">
        <v>3618</v>
      </c>
    </row>
    <row r="12643" spans="35:37">
      <c r="AI12643" s="468">
        <v>55015</v>
      </c>
      <c r="AJ12643" s="5" t="s">
        <v>3579</v>
      </c>
      <c r="AK12643" s="5" t="s">
        <v>3620</v>
      </c>
    </row>
    <row r="12644" spans="35:37">
      <c r="AI12644" s="468">
        <v>55016</v>
      </c>
      <c r="AJ12644" s="5" t="s">
        <v>3624</v>
      </c>
      <c r="AK12644" s="5" t="s">
        <v>3622</v>
      </c>
    </row>
    <row r="12645" spans="35:37">
      <c r="AI12645" s="468">
        <v>55017</v>
      </c>
      <c r="AJ12645" s="5" t="s">
        <v>3626</v>
      </c>
      <c r="AK12645" s="5" t="s">
        <v>3627</v>
      </c>
    </row>
    <row r="12646" spans="35:37">
      <c r="AI12646" s="468">
        <v>55018</v>
      </c>
      <c r="AJ12646" s="5" t="s">
        <v>3628</v>
      </c>
      <c r="AK12646" s="5" t="s">
        <v>3618</v>
      </c>
    </row>
    <row r="12647" spans="35:37">
      <c r="AI12647" s="468">
        <v>55019</v>
      </c>
      <c r="AJ12647" s="5" t="s">
        <v>3617</v>
      </c>
      <c r="AK12647" s="5" t="s">
        <v>3620</v>
      </c>
    </row>
    <row r="12648" spans="35:37">
      <c r="AI12648" s="468">
        <v>55020</v>
      </c>
      <c r="AJ12648" s="5" t="s">
        <v>3619</v>
      </c>
      <c r="AK12648" s="5" t="s">
        <v>3622</v>
      </c>
    </row>
    <row r="12649" spans="35:37">
      <c r="AI12649" s="468">
        <v>55021</v>
      </c>
      <c r="AJ12649" s="5" t="s">
        <v>3621</v>
      </c>
      <c r="AK12649" s="5" t="s">
        <v>3623</v>
      </c>
    </row>
    <row r="12650" spans="35:37">
      <c r="AI12650" s="468">
        <v>55022</v>
      </c>
      <c r="AJ12650" s="5" t="s">
        <v>3579</v>
      </c>
      <c r="AK12650" s="5" t="s">
        <v>3625</v>
      </c>
    </row>
    <row r="12651" spans="35:37">
      <c r="AI12651" s="468">
        <v>55023</v>
      </c>
      <c r="AJ12651" s="5" t="s">
        <v>3624</v>
      </c>
      <c r="AK12651" s="5" t="s">
        <v>3627</v>
      </c>
    </row>
    <row r="12652" spans="35:37">
      <c r="AI12652" s="468">
        <v>55024</v>
      </c>
      <c r="AJ12652" s="5" t="s">
        <v>3626</v>
      </c>
      <c r="AK12652" s="5" t="s">
        <v>3618</v>
      </c>
    </row>
    <row r="12653" spans="35:37">
      <c r="AI12653" s="468">
        <v>55025</v>
      </c>
      <c r="AJ12653" s="5" t="s">
        <v>3628</v>
      </c>
      <c r="AK12653" s="5" t="s">
        <v>3620</v>
      </c>
    </row>
    <row r="12654" spans="35:37">
      <c r="AI12654" s="468">
        <v>55026</v>
      </c>
      <c r="AJ12654" s="5" t="s">
        <v>3617</v>
      </c>
      <c r="AK12654" s="5" t="s">
        <v>3622</v>
      </c>
    </row>
    <row r="12655" spans="35:37">
      <c r="AI12655" s="468">
        <v>55027</v>
      </c>
      <c r="AJ12655" s="5" t="s">
        <v>3619</v>
      </c>
      <c r="AK12655" s="5" t="s">
        <v>3623</v>
      </c>
    </row>
    <row r="12656" spans="35:37">
      <c r="AI12656" s="468">
        <v>55028</v>
      </c>
      <c r="AJ12656" s="5" t="s">
        <v>3621</v>
      </c>
      <c r="AK12656" s="5" t="s">
        <v>3625</v>
      </c>
    </row>
    <row r="12657" spans="35:37">
      <c r="AI12657" s="468">
        <v>55029</v>
      </c>
      <c r="AJ12657" s="5" t="s">
        <v>3579</v>
      </c>
      <c r="AK12657" s="5" t="s">
        <v>3627</v>
      </c>
    </row>
    <row r="12658" spans="35:37">
      <c r="AI12658" s="468">
        <v>55030</v>
      </c>
      <c r="AJ12658" s="5" t="s">
        <v>3624</v>
      </c>
      <c r="AK12658" s="5" t="s">
        <v>3618</v>
      </c>
    </row>
    <row r="12659" spans="35:37">
      <c r="AI12659" s="468">
        <v>55031</v>
      </c>
      <c r="AJ12659" s="5" t="s">
        <v>3626</v>
      </c>
      <c r="AK12659" s="5" t="s">
        <v>3620</v>
      </c>
    </row>
    <row r="12660" spans="35:37">
      <c r="AI12660" s="468">
        <v>55032</v>
      </c>
      <c r="AJ12660" s="5" t="s">
        <v>3628</v>
      </c>
      <c r="AK12660" s="5" t="s">
        <v>3622</v>
      </c>
    </row>
    <row r="12661" spans="35:37">
      <c r="AI12661" s="468">
        <v>55033</v>
      </c>
      <c r="AJ12661" s="5" t="s">
        <v>3617</v>
      </c>
      <c r="AK12661" s="5" t="s">
        <v>3623</v>
      </c>
    </row>
    <row r="12662" spans="35:37">
      <c r="AI12662" s="468">
        <v>55034</v>
      </c>
      <c r="AJ12662" s="5" t="s">
        <v>3619</v>
      </c>
      <c r="AK12662" s="5" t="s">
        <v>3625</v>
      </c>
    </row>
    <row r="12663" spans="35:37">
      <c r="AI12663" s="468">
        <v>55035</v>
      </c>
      <c r="AJ12663" s="5" t="s">
        <v>3621</v>
      </c>
      <c r="AK12663" s="5" t="s">
        <v>3627</v>
      </c>
    </row>
    <row r="12664" spans="35:37">
      <c r="AI12664" s="468">
        <v>55036</v>
      </c>
      <c r="AJ12664" s="5" t="s">
        <v>3579</v>
      </c>
      <c r="AK12664" s="5" t="s">
        <v>3618</v>
      </c>
    </row>
    <row r="12665" spans="35:37">
      <c r="AI12665" s="468">
        <v>55037</v>
      </c>
      <c r="AJ12665" s="5" t="s">
        <v>3624</v>
      </c>
      <c r="AK12665" s="5" t="s">
        <v>3620</v>
      </c>
    </row>
    <row r="12666" spans="35:37">
      <c r="AI12666" s="468">
        <v>55038</v>
      </c>
      <c r="AJ12666" s="5" t="s">
        <v>3626</v>
      </c>
      <c r="AK12666" s="5" t="s">
        <v>3622</v>
      </c>
    </row>
    <row r="12667" spans="35:37">
      <c r="AI12667" s="468">
        <v>55039</v>
      </c>
      <c r="AJ12667" s="5" t="s">
        <v>3628</v>
      </c>
      <c r="AK12667" s="5" t="s">
        <v>3623</v>
      </c>
    </row>
    <row r="12668" spans="35:37">
      <c r="AI12668" s="468">
        <v>55040</v>
      </c>
      <c r="AJ12668" s="5" t="s">
        <v>3617</v>
      </c>
      <c r="AK12668" s="5" t="s">
        <v>3625</v>
      </c>
    </row>
    <row r="12669" spans="35:37">
      <c r="AI12669" s="468">
        <v>55041</v>
      </c>
      <c r="AJ12669" s="5" t="s">
        <v>3619</v>
      </c>
      <c r="AK12669" s="5" t="s">
        <v>3627</v>
      </c>
    </row>
    <row r="12670" spans="35:37">
      <c r="AI12670" s="468">
        <v>55042</v>
      </c>
      <c r="AJ12670" s="5" t="s">
        <v>3621</v>
      </c>
      <c r="AK12670" s="5" t="s">
        <v>3618</v>
      </c>
    </row>
    <row r="12671" spans="35:37">
      <c r="AI12671" s="468">
        <v>55043</v>
      </c>
      <c r="AJ12671" s="5" t="s">
        <v>3579</v>
      </c>
      <c r="AK12671" s="5" t="s">
        <v>3620</v>
      </c>
    </row>
    <row r="12672" spans="35:37">
      <c r="AI12672" s="468">
        <v>55044</v>
      </c>
      <c r="AJ12672" s="5" t="s">
        <v>3624</v>
      </c>
      <c r="AK12672" s="5" t="s">
        <v>3622</v>
      </c>
    </row>
    <row r="12673" spans="35:37">
      <c r="AI12673" s="468">
        <v>55045</v>
      </c>
      <c r="AJ12673" s="5" t="s">
        <v>3626</v>
      </c>
      <c r="AK12673" s="5" t="s">
        <v>3623</v>
      </c>
    </row>
    <row r="12674" spans="35:37">
      <c r="AI12674" s="468">
        <v>55046</v>
      </c>
      <c r="AJ12674" s="5" t="s">
        <v>3628</v>
      </c>
      <c r="AK12674" s="5" t="s">
        <v>3625</v>
      </c>
    </row>
    <row r="12675" spans="35:37">
      <c r="AI12675" s="468">
        <v>55047</v>
      </c>
      <c r="AJ12675" s="5" t="s">
        <v>3617</v>
      </c>
      <c r="AK12675" s="5" t="s">
        <v>3618</v>
      </c>
    </row>
    <row r="12676" spans="35:37">
      <c r="AI12676" s="468">
        <v>55048</v>
      </c>
      <c r="AJ12676" s="5" t="s">
        <v>3619</v>
      </c>
      <c r="AK12676" s="5" t="s">
        <v>3620</v>
      </c>
    </row>
    <row r="12677" spans="35:37">
      <c r="AI12677" s="468">
        <v>55049</v>
      </c>
      <c r="AJ12677" s="5" t="s">
        <v>3621</v>
      </c>
      <c r="AK12677" s="5" t="s">
        <v>3622</v>
      </c>
    </row>
    <row r="12678" spans="35:37">
      <c r="AI12678" s="468">
        <v>55050</v>
      </c>
      <c r="AJ12678" s="5" t="s">
        <v>3579</v>
      </c>
      <c r="AK12678" s="5" t="s">
        <v>3623</v>
      </c>
    </row>
    <row r="12679" spans="35:37">
      <c r="AI12679" s="468">
        <v>55051</v>
      </c>
      <c r="AJ12679" s="5" t="s">
        <v>3624</v>
      </c>
      <c r="AK12679" s="5" t="s">
        <v>3625</v>
      </c>
    </row>
    <row r="12680" spans="35:37">
      <c r="AI12680" s="468">
        <v>55052</v>
      </c>
      <c r="AJ12680" s="5" t="s">
        <v>3626</v>
      </c>
      <c r="AK12680" s="5" t="s">
        <v>3627</v>
      </c>
    </row>
    <row r="12681" spans="35:37">
      <c r="AI12681" s="468">
        <v>55053</v>
      </c>
      <c r="AJ12681" s="5" t="s">
        <v>3628</v>
      </c>
      <c r="AK12681" s="5" t="s">
        <v>3618</v>
      </c>
    </row>
    <row r="12682" spans="35:37">
      <c r="AI12682" s="468">
        <v>55054</v>
      </c>
      <c r="AJ12682" s="5" t="s">
        <v>3617</v>
      </c>
      <c r="AK12682" s="5" t="s">
        <v>3620</v>
      </c>
    </row>
    <row r="12683" spans="35:37">
      <c r="AI12683" s="468">
        <v>55055</v>
      </c>
      <c r="AJ12683" s="5" t="s">
        <v>3619</v>
      </c>
      <c r="AK12683" s="5" t="s">
        <v>3622</v>
      </c>
    </row>
    <row r="12684" spans="35:37">
      <c r="AI12684" s="468">
        <v>55056</v>
      </c>
      <c r="AJ12684" s="5" t="s">
        <v>3621</v>
      </c>
      <c r="AK12684" s="5" t="s">
        <v>3623</v>
      </c>
    </row>
    <row r="12685" spans="35:37">
      <c r="AI12685" s="468">
        <v>55057</v>
      </c>
      <c r="AJ12685" s="5" t="s">
        <v>3579</v>
      </c>
      <c r="AK12685" s="5" t="s">
        <v>3625</v>
      </c>
    </row>
    <row r="12686" spans="35:37">
      <c r="AI12686" s="468">
        <v>55058</v>
      </c>
      <c r="AJ12686" s="5" t="s">
        <v>3624</v>
      </c>
      <c r="AK12686" s="5" t="s">
        <v>3627</v>
      </c>
    </row>
    <row r="12687" spans="35:37">
      <c r="AI12687" s="468">
        <v>55059</v>
      </c>
      <c r="AJ12687" s="5" t="s">
        <v>3626</v>
      </c>
      <c r="AK12687" s="5" t="s">
        <v>3618</v>
      </c>
    </row>
    <row r="12688" spans="35:37">
      <c r="AI12688" s="468">
        <v>55060</v>
      </c>
      <c r="AJ12688" s="5" t="s">
        <v>3628</v>
      </c>
      <c r="AK12688" s="5" t="s">
        <v>3620</v>
      </c>
    </row>
    <row r="12689" spans="35:37">
      <c r="AI12689" s="468">
        <v>55061</v>
      </c>
      <c r="AJ12689" s="5" t="s">
        <v>3617</v>
      </c>
      <c r="AK12689" s="5" t="s">
        <v>3622</v>
      </c>
    </row>
    <row r="12690" spans="35:37">
      <c r="AI12690" s="468">
        <v>55062</v>
      </c>
      <c r="AJ12690" s="5" t="s">
        <v>3619</v>
      </c>
      <c r="AK12690" s="5" t="s">
        <v>3623</v>
      </c>
    </row>
    <row r="12691" spans="35:37">
      <c r="AI12691" s="468">
        <v>55063</v>
      </c>
      <c r="AJ12691" s="5" t="s">
        <v>3621</v>
      </c>
      <c r="AK12691" s="5" t="s">
        <v>3625</v>
      </c>
    </row>
    <row r="12692" spans="35:37">
      <c r="AI12692" s="468">
        <v>55064</v>
      </c>
      <c r="AJ12692" s="5" t="s">
        <v>3579</v>
      </c>
      <c r="AK12692" s="5" t="s">
        <v>3627</v>
      </c>
    </row>
    <row r="12693" spans="35:37">
      <c r="AI12693" s="468">
        <v>55065</v>
      </c>
      <c r="AJ12693" s="5" t="s">
        <v>3624</v>
      </c>
      <c r="AK12693" s="5" t="s">
        <v>3618</v>
      </c>
    </row>
    <row r="12694" spans="35:37">
      <c r="AI12694" s="468">
        <v>55066</v>
      </c>
      <c r="AJ12694" s="5" t="s">
        <v>3626</v>
      </c>
      <c r="AK12694" s="5" t="s">
        <v>3620</v>
      </c>
    </row>
    <row r="12695" spans="35:37">
      <c r="AI12695" s="468">
        <v>55067</v>
      </c>
      <c r="AJ12695" s="5" t="s">
        <v>3628</v>
      </c>
      <c r="AK12695" s="5" t="s">
        <v>3622</v>
      </c>
    </row>
    <row r="12696" spans="35:37">
      <c r="AI12696" s="468">
        <v>55068</v>
      </c>
      <c r="AJ12696" s="5" t="s">
        <v>3617</v>
      </c>
      <c r="AK12696" s="5" t="s">
        <v>3623</v>
      </c>
    </row>
    <row r="12697" spans="35:37">
      <c r="AI12697" s="468">
        <v>55069</v>
      </c>
      <c r="AJ12697" s="5" t="s">
        <v>3619</v>
      </c>
      <c r="AK12697" s="5" t="s">
        <v>3625</v>
      </c>
    </row>
    <row r="12698" spans="35:37">
      <c r="AI12698" s="468">
        <v>55070</v>
      </c>
      <c r="AJ12698" s="5" t="s">
        <v>3621</v>
      </c>
      <c r="AK12698" s="5" t="s">
        <v>3627</v>
      </c>
    </row>
    <row r="12699" spans="35:37">
      <c r="AI12699" s="468">
        <v>55071</v>
      </c>
      <c r="AJ12699" s="5" t="s">
        <v>3579</v>
      </c>
      <c r="AK12699" s="5" t="s">
        <v>3618</v>
      </c>
    </row>
    <row r="12700" spans="35:37">
      <c r="AI12700" s="468">
        <v>55072</v>
      </c>
      <c r="AJ12700" s="5" t="s">
        <v>3624</v>
      </c>
      <c r="AK12700" s="5" t="s">
        <v>3620</v>
      </c>
    </row>
    <row r="12701" spans="35:37">
      <c r="AI12701" s="468">
        <v>55073</v>
      </c>
      <c r="AJ12701" s="5" t="s">
        <v>3626</v>
      </c>
      <c r="AK12701" s="5" t="s">
        <v>3622</v>
      </c>
    </row>
    <row r="12702" spans="35:37">
      <c r="AI12702" s="468">
        <v>55074</v>
      </c>
      <c r="AJ12702" s="5" t="s">
        <v>3628</v>
      </c>
      <c r="AK12702" s="5" t="s">
        <v>3623</v>
      </c>
    </row>
    <row r="12703" spans="35:37">
      <c r="AI12703" s="468">
        <v>55075</v>
      </c>
      <c r="AJ12703" s="5" t="s">
        <v>3617</v>
      </c>
      <c r="AK12703" s="5" t="s">
        <v>3625</v>
      </c>
    </row>
    <row r="12704" spans="35:37">
      <c r="AI12704" s="468">
        <v>55076</v>
      </c>
      <c r="AJ12704" s="5" t="s">
        <v>3619</v>
      </c>
      <c r="AK12704" s="5" t="s">
        <v>3627</v>
      </c>
    </row>
    <row r="12705" spans="35:37">
      <c r="AI12705" s="468">
        <v>55077</v>
      </c>
      <c r="AJ12705" s="5" t="s">
        <v>3621</v>
      </c>
      <c r="AK12705" s="5" t="s">
        <v>3620</v>
      </c>
    </row>
    <row r="12706" spans="35:37">
      <c r="AI12706" s="468">
        <v>55078</v>
      </c>
      <c r="AJ12706" s="5" t="s">
        <v>3579</v>
      </c>
      <c r="AK12706" s="5" t="s">
        <v>3622</v>
      </c>
    </row>
    <row r="12707" spans="35:37">
      <c r="AI12707" s="468">
        <v>55079</v>
      </c>
      <c r="AJ12707" s="5" t="s">
        <v>3624</v>
      </c>
      <c r="AK12707" s="5" t="s">
        <v>3623</v>
      </c>
    </row>
    <row r="12708" spans="35:37">
      <c r="AI12708" s="468">
        <v>55080</v>
      </c>
      <c r="AJ12708" s="5" t="s">
        <v>3626</v>
      </c>
      <c r="AK12708" s="5" t="s">
        <v>3625</v>
      </c>
    </row>
    <row r="12709" spans="35:37">
      <c r="AI12709" s="468">
        <v>55081</v>
      </c>
      <c r="AJ12709" s="5" t="s">
        <v>3628</v>
      </c>
      <c r="AK12709" s="5" t="s">
        <v>3627</v>
      </c>
    </row>
    <row r="12710" spans="35:37">
      <c r="AI12710" s="468">
        <v>55082</v>
      </c>
      <c r="AJ12710" s="5" t="s">
        <v>3617</v>
      </c>
      <c r="AK12710" s="5" t="s">
        <v>3618</v>
      </c>
    </row>
    <row r="12711" spans="35:37">
      <c r="AI12711" s="468">
        <v>55083</v>
      </c>
      <c r="AJ12711" s="5" t="s">
        <v>3619</v>
      </c>
      <c r="AK12711" s="5" t="s">
        <v>3620</v>
      </c>
    </row>
    <row r="12712" spans="35:37">
      <c r="AI12712" s="468">
        <v>55084</v>
      </c>
      <c r="AJ12712" s="5" t="s">
        <v>3621</v>
      </c>
      <c r="AK12712" s="5" t="s">
        <v>3622</v>
      </c>
    </row>
    <row r="12713" spans="35:37">
      <c r="AI12713" s="468">
        <v>55085</v>
      </c>
      <c r="AJ12713" s="5" t="s">
        <v>3579</v>
      </c>
      <c r="AK12713" s="5" t="s">
        <v>3623</v>
      </c>
    </row>
    <row r="12714" spans="35:37">
      <c r="AI12714" s="468">
        <v>55086</v>
      </c>
      <c r="AJ12714" s="5" t="s">
        <v>3624</v>
      </c>
      <c r="AK12714" s="5" t="s">
        <v>3625</v>
      </c>
    </row>
    <row r="12715" spans="35:37">
      <c r="AI12715" s="468">
        <v>55087</v>
      </c>
      <c r="AJ12715" s="5" t="s">
        <v>3626</v>
      </c>
      <c r="AK12715" s="5" t="s">
        <v>3627</v>
      </c>
    </row>
    <row r="12716" spans="35:37">
      <c r="AI12716" s="468">
        <v>55088</v>
      </c>
      <c r="AJ12716" s="5" t="s">
        <v>3628</v>
      </c>
      <c r="AK12716" s="5" t="s">
        <v>3618</v>
      </c>
    </row>
    <row r="12717" spans="35:37">
      <c r="AI12717" s="468">
        <v>55089</v>
      </c>
      <c r="AJ12717" s="5" t="s">
        <v>3617</v>
      </c>
      <c r="AK12717" s="5" t="s">
        <v>3620</v>
      </c>
    </row>
    <row r="12718" spans="35:37">
      <c r="AI12718" s="468">
        <v>55090</v>
      </c>
      <c r="AJ12718" s="5" t="s">
        <v>3619</v>
      </c>
      <c r="AK12718" s="5" t="s">
        <v>3622</v>
      </c>
    </row>
    <row r="12719" spans="35:37">
      <c r="AI12719" s="468">
        <v>55091</v>
      </c>
      <c r="AJ12719" s="5" t="s">
        <v>3621</v>
      </c>
      <c r="AK12719" s="5" t="s">
        <v>3623</v>
      </c>
    </row>
    <row r="12720" spans="35:37">
      <c r="AI12720" s="468">
        <v>55092</v>
      </c>
      <c r="AJ12720" s="5" t="s">
        <v>3579</v>
      </c>
      <c r="AK12720" s="5" t="s">
        <v>3625</v>
      </c>
    </row>
    <row r="12721" spans="35:37">
      <c r="AI12721" s="468">
        <v>55093</v>
      </c>
      <c r="AJ12721" s="5" t="s">
        <v>3624</v>
      </c>
      <c r="AK12721" s="5" t="s">
        <v>3627</v>
      </c>
    </row>
    <row r="12722" spans="35:37">
      <c r="AI12722" s="468">
        <v>55094</v>
      </c>
      <c r="AJ12722" s="5" t="s">
        <v>3626</v>
      </c>
      <c r="AK12722" s="5" t="s">
        <v>3618</v>
      </c>
    </row>
    <row r="12723" spans="35:37">
      <c r="AI12723" s="468">
        <v>55095</v>
      </c>
      <c r="AJ12723" s="5" t="s">
        <v>3628</v>
      </c>
      <c r="AK12723" s="5" t="s">
        <v>3620</v>
      </c>
    </row>
    <row r="12724" spans="35:37">
      <c r="AI12724" s="468">
        <v>55096</v>
      </c>
      <c r="AJ12724" s="5" t="s">
        <v>3617</v>
      </c>
      <c r="AK12724" s="5" t="s">
        <v>3622</v>
      </c>
    </row>
    <row r="12725" spans="35:37">
      <c r="AI12725" s="468">
        <v>55097</v>
      </c>
      <c r="AJ12725" s="5" t="s">
        <v>3619</v>
      </c>
      <c r="AK12725" s="5" t="s">
        <v>3623</v>
      </c>
    </row>
    <row r="12726" spans="35:37">
      <c r="AI12726" s="468">
        <v>55098</v>
      </c>
      <c r="AJ12726" s="5" t="s">
        <v>3621</v>
      </c>
      <c r="AK12726" s="5" t="s">
        <v>3625</v>
      </c>
    </row>
    <row r="12727" spans="35:37">
      <c r="AI12727" s="468">
        <v>55099</v>
      </c>
      <c r="AJ12727" s="5" t="s">
        <v>3579</v>
      </c>
      <c r="AK12727" s="5" t="s">
        <v>3627</v>
      </c>
    </row>
    <row r="12728" spans="35:37">
      <c r="AI12728" s="468">
        <v>55100</v>
      </c>
      <c r="AJ12728" s="5" t="s">
        <v>3624</v>
      </c>
      <c r="AK12728" s="5" t="s">
        <v>3618</v>
      </c>
    </row>
    <row r="12729" spans="35:37">
      <c r="AI12729" s="468">
        <v>55101</v>
      </c>
      <c r="AJ12729" s="5" t="s">
        <v>3626</v>
      </c>
      <c r="AK12729" s="5" t="s">
        <v>3620</v>
      </c>
    </row>
    <row r="12730" spans="35:37">
      <c r="AI12730" s="468">
        <v>55102</v>
      </c>
      <c r="AJ12730" s="5" t="s">
        <v>3628</v>
      </c>
      <c r="AK12730" s="5" t="s">
        <v>3622</v>
      </c>
    </row>
    <row r="12731" spans="35:37">
      <c r="AI12731" s="468">
        <v>55103</v>
      </c>
      <c r="AJ12731" s="5" t="s">
        <v>3617</v>
      </c>
      <c r="AK12731" s="5" t="s">
        <v>3623</v>
      </c>
    </row>
    <row r="12732" spans="35:37">
      <c r="AI12732" s="468">
        <v>55104</v>
      </c>
      <c r="AJ12732" s="5" t="s">
        <v>3619</v>
      </c>
      <c r="AK12732" s="5" t="s">
        <v>3625</v>
      </c>
    </row>
    <row r="12733" spans="35:37">
      <c r="AI12733" s="468">
        <v>55105</v>
      </c>
      <c r="AJ12733" s="5" t="s">
        <v>3621</v>
      </c>
      <c r="AK12733" s="5" t="s">
        <v>3627</v>
      </c>
    </row>
    <row r="12734" spans="35:37">
      <c r="AI12734" s="468">
        <v>55106</v>
      </c>
      <c r="AJ12734" s="5" t="s">
        <v>3579</v>
      </c>
      <c r="AK12734" s="5" t="s">
        <v>3622</v>
      </c>
    </row>
    <row r="12735" spans="35:37">
      <c r="AI12735" s="468">
        <v>55107</v>
      </c>
      <c r="AJ12735" s="5" t="s">
        <v>3624</v>
      </c>
      <c r="AK12735" s="5" t="s">
        <v>3623</v>
      </c>
    </row>
    <row r="12736" spans="35:37">
      <c r="AI12736" s="468">
        <v>55108</v>
      </c>
      <c r="AJ12736" s="5" t="s">
        <v>3626</v>
      </c>
      <c r="AK12736" s="5" t="s">
        <v>3625</v>
      </c>
    </row>
    <row r="12737" spans="35:37">
      <c r="AI12737" s="468">
        <v>55109</v>
      </c>
      <c r="AJ12737" s="5" t="s">
        <v>3628</v>
      </c>
      <c r="AK12737" s="5" t="s">
        <v>3627</v>
      </c>
    </row>
    <row r="12738" spans="35:37">
      <c r="AI12738" s="468">
        <v>55110</v>
      </c>
      <c r="AJ12738" s="5" t="s">
        <v>3617</v>
      </c>
      <c r="AK12738" s="5" t="s">
        <v>3618</v>
      </c>
    </row>
    <row r="12739" spans="35:37">
      <c r="AI12739" s="468">
        <v>55111</v>
      </c>
      <c r="AJ12739" s="5" t="s">
        <v>3619</v>
      </c>
      <c r="AK12739" s="5" t="s">
        <v>3620</v>
      </c>
    </row>
    <row r="12740" spans="35:37">
      <c r="AI12740" s="468">
        <v>55112</v>
      </c>
      <c r="AJ12740" s="5" t="s">
        <v>3621</v>
      </c>
      <c r="AK12740" s="5" t="s">
        <v>3622</v>
      </c>
    </row>
    <row r="12741" spans="35:37">
      <c r="AI12741" s="468">
        <v>55113</v>
      </c>
      <c r="AJ12741" s="5" t="s">
        <v>3579</v>
      </c>
      <c r="AK12741" s="5" t="s">
        <v>3623</v>
      </c>
    </row>
    <row r="12742" spans="35:37">
      <c r="AI12742" s="468">
        <v>55114</v>
      </c>
      <c r="AJ12742" s="5" t="s">
        <v>3624</v>
      </c>
      <c r="AK12742" s="5" t="s">
        <v>3625</v>
      </c>
    </row>
    <row r="12743" spans="35:37">
      <c r="AI12743" s="468">
        <v>55115</v>
      </c>
      <c r="AJ12743" s="5" t="s">
        <v>3626</v>
      </c>
      <c r="AK12743" s="5" t="s">
        <v>3627</v>
      </c>
    </row>
    <row r="12744" spans="35:37">
      <c r="AI12744" s="468">
        <v>55116</v>
      </c>
      <c r="AJ12744" s="5" t="s">
        <v>3628</v>
      </c>
      <c r="AK12744" s="5" t="s">
        <v>3618</v>
      </c>
    </row>
    <row r="12745" spans="35:37">
      <c r="AI12745" s="468">
        <v>55117</v>
      </c>
      <c r="AJ12745" s="5" t="s">
        <v>3617</v>
      </c>
      <c r="AK12745" s="5" t="s">
        <v>3620</v>
      </c>
    </row>
    <row r="12746" spans="35:37">
      <c r="AI12746" s="468">
        <v>55118</v>
      </c>
      <c r="AJ12746" s="5" t="s">
        <v>3619</v>
      </c>
      <c r="AK12746" s="5" t="s">
        <v>3622</v>
      </c>
    </row>
    <row r="12747" spans="35:37">
      <c r="AI12747" s="468">
        <v>55119</v>
      </c>
      <c r="AJ12747" s="5" t="s">
        <v>3621</v>
      </c>
      <c r="AK12747" s="5" t="s">
        <v>3623</v>
      </c>
    </row>
    <row r="12748" spans="35:37">
      <c r="AI12748" s="468">
        <v>55120</v>
      </c>
      <c r="AJ12748" s="5" t="s">
        <v>3579</v>
      </c>
      <c r="AK12748" s="5" t="s">
        <v>3625</v>
      </c>
    </row>
    <row r="12749" spans="35:37">
      <c r="AI12749" s="468">
        <v>55121</v>
      </c>
      <c r="AJ12749" s="5" t="s">
        <v>3624</v>
      </c>
      <c r="AK12749" s="5" t="s">
        <v>3627</v>
      </c>
    </row>
    <row r="12750" spans="35:37">
      <c r="AI12750" s="468">
        <v>55122</v>
      </c>
      <c r="AJ12750" s="5" t="s">
        <v>3626</v>
      </c>
      <c r="AK12750" s="5" t="s">
        <v>3618</v>
      </c>
    </row>
    <row r="12751" spans="35:37">
      <c r="AI12751" s="468">
        <v>55123</v>
      </c>
      <c r="AJ12751" s="5" t="s">
        <v>3628</v>
      </c>
      <c r="AK12751" s="5" t="s">
        <v>3620</v>
      </c>
    </row>
    <row r="12752" spans="35:37">
      <c r="AI12752" s="468">
        <v>55124</v>
      </c>
      <c r="AJ12752" s="5" t="s">
        <v>3617</v>
      </c>
      <c r="AK12752" s="5" t="s">
        <v>3622</v>
      </c>
    </row>
    <row r="12753" spans="35:37">
      <c r="AI12753" s="468">
        <v>55125</v>
      </c>
      <c r="AJ12753" s="5" t="s">
        <v>3619</v>
      </c>
      <c r="AK12753" s="5" t="s">
        <v>3623</v>
      </c>
    </row>
    <row r="12754" spans="35:37">
      <c r="AI12754" s="468">
        <v>55126</v>
      </c>
      <c r="AJ12754" s="5" t="s">
        <v>3621</v>
      </c>
      <c r="AK12754" s="5" t="s">
        <v>3625</v>
      </c>
    </row>
    <row r="12755" spans="35:37">
      <c r="AI12755" s="468">
        <v>55127</v>
      </c>
      <c r="AJ12755" s="5" t="s">
        <v>3579</v>
      </c>
      <c r="AK12755" s="5" t="s">
        <v>3627</v>
      </c>
    </row>
    <row r="12756" spans="35:37">
      <c r="AI12756" s="468">
        <v>55128</v>
      </c>
      <c r="AJ12756" s="5" t="s">
        <v>3624</v>
      </c>
      <c r="AK12756" s="5" t="s">
        <v>3618</v>
      </c>
    </row>
    <row r="12757" spans="35:37">
      <c r="AI12757" s="468">
        <v>55129</v>
      </c>
      <c r="AJ12757" s="5" t="s">
        <v>3626</v>
      </c>
      <c r="AK12757" s="5" t="s">
        <v>3620</v>
      </c>
    </row>
    <row r="12758" spans="35:37">
      <c r="AI12758" s="468">
        <v>55130</v>
      </c>
      <c r="AJ12758" s="5" t="s">
        <v>3628</v>
      </c>
      <c r="AK12758" s="5" t="s">
        <v>3622</v>
      </c>
    </row>
    <row r="12759" spans="35:37">
      <c r="AI12759" s="468">
        <v>55131</v>
      </c>
      <c r="AJ12759" s="5" t="s">
        <v>3617</v>
      </c>
      <c r="AK12759" s="5" t="s">
        <v>3623</v>
      </c>
    </row>
    <row r="12760" spans="35:37">
      <c r="AI12760" s="468">
        <v>55132</v>
      </c>
      <c r="AJ12760" s="5" t="s">
        <v>3619</v>
      </c>
      <c r="AK12760" s="5" t="s">
        <v>3625</v>
      </c>
    </row>
    <row r="12761" spans="35:37">
      <c r="AI12761" s="468">
        <v>55133</v>
      </c>
      <c r="AJ12761" s="5" t="s">
        <v>3621</v>
      </c>
      <c r="AK12761" s="5" t="s">
        <v>3627</v>
      </c>
    </row>
    <row r="12762" spans="35:37">
      <c r="AI12762" s="468">
        <v>55134</v>
      </c>
      <c r="AJ12762" s="5" t="s">
        <v>3579</v>
      </c>
      <c r="AK12762" s="5" t="s">
        <v>3618</v>
      </c>
    </row>
    <row r="12763" spans="35:37">
      <c r="AI12763" s="468">
        <v>55135</v>
      </c>
      <c r="AJ12763" s="5" t="s">
        <v>3624</v>
      </c>
      <c r="AK12763" s="5" t="s">
        <v>3620</v>
      </c>
    </row>
    <row r="12764" spans="35:37">
      <c r="AI12764" s="468">
        <v>55136</v>
      </c>
      <c r="AJ12764" s="5" t="s">
        <v>3626</v>
      </c>
      <c r="AK12764" s="5" t="s">
        <v>3623</v>
      </c>
    </row>
    <row r="12765" spans="35:37">
      <c r="AI12765" s="468">
        <v>55137</v>
      </c>
      <c r="AJ12765" s="5" t="s">
        <v>3628</v>
      </c>
      <c r="AK12765" s="5" t="s">
        <v>3625</v>
      </c>
    </row>
    <row r="12766" spans="35:37">
      <c r="AI12766" s="468">
        <v>55138</v>
      </c>
      <c r="AJ12766" s="5" t="s">
        <v>3617</v>
      </c>
      <c r="AK12766" s="5" t="s">
        <v>3627</v>
      </c>
    </row>
    <row r="12767" spans="35:37">
      <c r="AI12767" s="468">
        <v>55139</v>
      </c>
      <c r="AJ12767" s="5" t="s">
        <v>3619</v>
      </c>
      <c r="AK12767" s="5" t="s">
        <v>3618</v>
      </c>
    </row>
    <row r="12768" spans="35:37">
      <c r="AI12768" s="468">
        <v>55140</v>
      </c>
      <c r="AJ12768" s="5" t="s">
        <v>3621</v>
      </c>
      <c r="AK12768" s="5" t="s">
        <v>3620</v>
      </c>
    </row>
    <row r="12769" spans="35:37">
      <c r="AI12769" s="468">
        <v>55141</v>
      </c>
      <c r="AJ12769" s="5" t="s">
        <v>3579</v>
      </c>
      <c r="AK12769" s="5" t="s">
        <v>3622</v>
      </c>
    </row>
    <row r="12770" spans="35:37">
      <c r="AI12770" s="468">
        <v>55142</v>
      </c>
      <c r="AJ12770" s="5" t="s">
        <v>3624</v>
      </c>
      <c r="AK12770" s="5" t="s">
        <v>3623</v>
      </c>
    </row>
    <row r="12771" spans="35:37">
      <c r="AI12771" s="468">
        <v>55143</v>
      </c>
      <c r="AJ12771" s="5" t="s">
        <v>3626</v>
      </c>
      <c r="AK12771" s="5" t="s">
        <v>3625</v>
      </c>
    </row>
    <row r="12772" spans="35:37">
      <c r="AI12772" s="468">
        <v>55144</v>
      </c>
      <c r="AJ12772" s="5" t="s">
        <v>3628</v>
      </c>
      <c r="AK12772" s="5" t="s">
        <v>3627</v>
      </c>
    </row>
    <row r="12773" spans="35:37">
      <c r="AI12773" s="468">
        <v>55145</v>
      </c>
      <c r="AJ12773" s="5" t="s">
        <v>3617</v>
      </c>
      <c r="AK12773" s="5" t="s">
        <v>3618</v>
      </c>
    </row>
    <row r="12774" spans="35:37">
      <c r="AI12774" s="468">
        <v>55146</v>
      </c>
      <c r="AJ12774" s="5" t="s">
        <v>3619</v>
      </c>
      <c r="AK12774" s="5" t="s">
        <v>3620</v>
      </c>
    </row>
    <row r="12775" spans="35:37">
      <c r="AI12775" s="468">
        <v>55147</v>
      </c>
      <c r="AJ12775" s="5" t="s">
        <v>3621</v>
      </c>
      <c r="AK12775" s="5" t="s">
        <v>3622</v>
      </c>
    </row>
    <row r="12776" spans="35:37">
      <c r="AI12776" s="468">
        <v>55148</v>
      </c>
      <c r="AJ12776" s="5" t="s">
        <v>3579</v>
      </c>
      <c r="AK12776" s="5" t="s">
        <v>3623</v>
      </c>
    </row>
    <row r="12777" spans="35:37">
      <c r="AI12777" s="468">
        <v>55149</v>
      </c>
      <c r="AJ12777" s="5" t="s">
        <v>3624</v>
      </c>
      <c r="AK12777" s="5" t="s">
        <v>3625</v>
      </c>
    </row>
    <row r="12778" spans="35:37">
      <c r="AI12778" s="468">
        <v>55150</v>
      </c>
      <c r="AJ12778" s="5" t="s">
        <v>3626</v>
      </c>
      <c r="AK12778" s="5" t="s">
        <v>3627</v>
      </c>
    </row>
    <row r="12779" spans="35:37">
      <c r="AI12779" s="468">
        <v>55151</v>
      </c>
      <c r="AJ12779" s="5" t="s">
        <v>3628</v>
      </c>
      <c r="AK12779" s="5" t="s">
        <v>3618</v>
      </c>
    </row>
    <row r="12780" spans="35:37">
      <c r="AI12780" s="468">
        <v>55152</v>
      </c>
      <c r="AJ12780" s="5" t="s">
        <v>3617</v>
      </c>
      <c r="AK12780" s="5" t="s">
        <v>3620</v>
      </c>
    </row>
    <row r="12781" spans="35:37">
      <c r="AI12781" s="468">
        <v>55153</v>
      </c>
      <c r="AJ12781" s="5" t="s">
        <v>3619</v>
      </c>
      <c r="AK12781" s="5" t="s">
        <v>3622</v>
      </c>
    </row>
  </sheetData>
  <phoneticPr fontId="1"/>
  <pageMargins left="0.7" right="0.7" top="0.75" bottom="0.75" header="0.3" footer="0.3"/>
  <pageSetup paperSize="9" orientation="portrait" horizontalDpi="0" verticalDpi="0" r:id="rId1"/>
  <drawing r:id="rId2"/>
  <legacyDrawing r:id="rId3"/>
  <mc:AlternateContent xmlns:mc="http://schemas.openxmlformats.org/markup-compatibility/2006">
    <mc:Choice Requires="x14">
      <controls>
        <mc:AlternateContent xmlns:mc="http://schemas.openxmlformats.org/markup-compatibility/2006">
          <mc:Choice Requires="x14">
            <control shapeId="34817" r:id="rId4" name="Button 1">
              <controlPr defaultSize="0" print="0" autoFill="0" autoPict="0" macro="[0]!getPleasanterUsers">
                <anchor moveWithCells="1" sizeWithCells="1">
                  <from>
                    <xdr:col>14</xdr:col>
                    <xdr:colOff>485775</xdr:colOff>
                    <xdr:row>31</xdr:row>
                    <xdr:rowOff>47625</xdr:rowOff>
                  </from>
                  <to>
                    <xdr:col>16</xdr:col>
                    <xdr:colOff>457200</xdr:colOff>
                    <xdr:row>35</xdr:row>
                    <xdr:rowOff>104775</xdr:rowOff>
                  </to>
                </anchor>
              </controlPr>
            </control>
          </mc:Choice>
        </mc:AlternateContent>
      </controls>
    </mc:Choice>
  </mc:AlternateContent>
  <tableParts count="18">
    <tablePart r:id="rId5"/>
    <tablePart r:id="rId6"/>
    <tablePart r:id="rId7"/>
    <tablePart r:id="rId8"/>
    <tablePart r:id="rId9"/>
    <tablePart r:id="rId10"/>
    <tablePart r:id="rId11"/>
    <tablePart r:id="rId12"/>
    <tablePart r:id="rId13"/>
    <tablePart r:id="rId14"/>
    <tablePart r:id="rId15"/>
    <tablePart r:id="rId16"/>
    <tablePart r:id="rId17"/>
    <tablePart r:id="rId18"/>
    <tablePart r:id="rId19"/>
    <tablePart r:id="rId20"/>
    <tablePart r:id="rId21"/>
    <tablePart r:id="rId22"/>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19</vt:i4>
      </vt:variant>
      <vt:variant>
        <vt:lpstr>名前付き一覧</vt:lpstr>
      </vt:variant>
      <vt:variant>
        <vt:i4>483</vt:i4>
      </vt:variant>
    </vt:vector>
  </HeadingPairs>
  <TitlesOfParts>
    <vt:vector size="502" baseType="lpstr">
      <vt:lpstr>仕様書</vt:lpstr>
      <vt:lpstr>MSSデータ一覧</vt:lpstr>
      <vt:lpstr>MSS添付</vt:lpstr>
      <vt:lpstr>お客様データ添付</vt:lpstr>
      <vt:lpstr>お客様データリスト</vt:lpstr>
      <vt:lpstr>WF追加変更申請</vt:lpstr>
      <vt:lpstr>MSSデータ</vt:lpstr>
      <vt:lpstr>JSONデータ</vt:lpstr>
      <vt:lpstr>覚書</vt:lpstr>
      <vt:lpstr>粗利益確認書(設計契約)</vt:lpstr>
      <vt:lpstr>粗利益確認書(本契約)</vt:lpstr>
      <vt:lpstr>リードタイム算定書</vt:lpstr>
      <vt:lpstr>工期計算v2</vt:lpstr>
      <vt:lpstr>R</vt:lpstr>
      <vt:lpstr>K</vt:lpstr>
      <vt:lpstr>T</vt:lpstr>
      <vt:lpstr>MSSリスト</vt:lpstr>
      <vt:lpstr>変換</vt:lpstr>
      <vt:lpstr>マスターデータ</vt:lpstr>
      <vt:lpstr>[K]引渡日</vt:lpstr>
      <vt:lpstr>[K]上棟日</vt:lpstr>
      <vt:lpstr>[R]_53条</vt:lpstr>
      <vt:lpstr>[R]_53条_日数</vt:lpstr>
      <vt:lpstr>[R]_76条_区画整理</vt:lpstr>
      <vt:lpstr>[R]_76条_日数</vt:lpstr>
      <vt:lpstr>[R]お知らせ看板</vt:lpstr>
      <vt:lpstr>[R]お知らせ看板_日数</vt:lpstr>
      <vt:lpstr>[R]お知らせ看板_練馬</vt:lpstr>
      <vt:lpstr>[R]お知らせ看板_練馬_日数</vt:lpstr>
      <vt:lpstr>[R]ブランド</vt:lpstr>
      <vt:lpstr>[R]愛知宅造区域</vt:lpstr>
      <vt:lpstr>[R]愛知宅造区域_日数</vt:lpstr>
      <vt:lpstr>[R]火と水</vt:lpstr>
      <vt:lpstr>[R]火のみ</vt:lpstr>
      <vt:lpstr>[R]解体完了日</vt:lpstr>
      <vt:lpstr>[R]解体着手日</vt:lpstr>
      <vt:lpstr>[R]階数</vt:lpstr>
      <vt:lpstr>[R]確認決裁日</vt:lpstr>
      <vt:lpstr>[R]確認提出日</vt:lpstr>
      <vt:lpstr>[R]狭あい</vt:lpstr>
      <vt:lpstr>[R]狭あい_日数</vt:lpstr>
      <vt:lpstr>[R]金と土</vt:lpstr>
      <vt:lpstr>[R]金のみ</vt:lpstr>
      <vt:lpstr>[R]契約図確間日数</vt:lpstr>
      <vt:lpstr>[R]契約着工間日数</vt:lpstr>
      <vt:lpstr>[R]契約日_リードタイム</vt:lpstr>
      <vt:lpstr>[R]景観条例</vt:lpstr>
      <vt:lpstr>[R]景観条例_日数</vt:lpstr>
      <vt:lpstr>[R]月と火</vt:lpstr>
      <vt:lpstr>[R]月のみ</vt:lpstr>
      <vt:lpstr>[R]建上地_三鷹市</vt:lpstr>
      <vt:lpstr>[R]建上地_三鷹市_日数</vt:lpstr>
      <vt:lpstr>[R]建上地_杉並区</vt:lpstr>
      <vt:lpstr>[R]建上地_杉並区_日数</vt:lpstr>
      <vt:lpstr>[R]建上地_武蔵野市</vt:lpstr>
      <vt:lpstr>[R]建上地_武蔵野市_日数</vt:lpstr>
      <vt:lpstr>[R]建築許可</vt:lpstr>
      <vt:lpstr>[R]建築許可日数</vt:lpstr>
      <vt:lpstr>[R]工事種別</vt:lpstr>
      <vt:lpstr>[R]構造計算</vt:lpstr>
      <vt:lpstr>[R]構造計算_日数</vt:lpstr>
      <vt:lpstr>[R]構造計算有無</vt:lpstr>
      <vt:lpstr>[R]残日数</vt:lpstr>
      <vt:lpstr>[R]仕様打完了日</vt:lpstr>
      <vt:lpstr>[R]四者承認図前日</vt:lpstr>
      <vt:lpstr>[R]事前</vt:lpstr>
      <vt:lpstr>[R]事前決済日</vt:lpstr>
      <vt:lpstr>[R]事前提出</vt:lpstr>
      <vt:lpstr>[R]事前提出日</vt:lpstr>
      <vt:lpstr>[R]事前日数</vt:lpstr>
      <vt:lpstr>[R]実図確日</vt:lpstr>
      <vt:lpstr>[R]主要用途</vt:lpstr>
      <vt:lpstr>[R]承認図14日前</vt:lpstr>
      <vt:lpstr>[R]図確引継日1</vt:lpstr>
      <vt:lpstr>[R]図確引継日2</vt:lpstr>
      <vt:lpstr>[R]図確日</vt:lpstr>
      <vt:lpstr>[R]図着間日数</vt:lpstr>
      <vt:lpstr>[R]水と木</vt:lpstr>
      <vt:lpstr>[R]水のみ</vt:lpstr>
      <vt:lpstr>[R]世帯</vt:lpstr>
      <vt:lpstr>[R]地区計画</vt:lpstr>
      <vt:lpstr>[R]地区計画_日数</vt:lpstr>
      <vt:lpstr>[R]地耐力調査日</vt:lpstr>
      <vt:lpstr>[R]地盤改良</vt:lpstr>
      <vt:lpstr>[R]地盤改良着手日</vt:lpstr>
      <vt:lpstr>[R]地盤改良有無</vt:lpstr>
      <vt:lpstr>[R]着工予定日_参考</vt:lpstr>
      <vt:lpstr>[R]長期・低炭素</vt:lpstr>
      <vt:lpstr>[R]長期決済日</vt:lpstr>
      <vt:lpstr>[R]長期申込日</vt:lpstr>
      <vt:lpstr>[R]長期性能評価</vt:lpstr>
      <vt:lpstr>[R]天空率</vt:lpstr>
      <vt:lpstr>[R]天空率_日数</vt:lpstr>
      <vt:lpstr>[R]土と日</vt:lpstr>
      <vt:lpstr>[R]土のみ</vt:lpstr>
      <vt:lpstr>[R]日と月</vt:lpstr>
      <vt:lpstr>[R]日のみ</vt:lpstr>
      <vt:lpstr>[R]日進小規模</vt:lpstr>
      <vt:lpstr>[R]日進小規模_日数</vt:lpstr>
      <vt:lpstr>[R]風致地区</vt:lpstr>
      <vt:lpstr>[R]風致地区_日数</vt:lpstr>
      <vt:lpstr>[R]伏図チェック日</vt:lpstr>
      <vt:lpstr>[R]保険登録日</vt:lpstr>
      <vt:lpstr>[R]本日</vt:lpstr>
      <vt:lpstr>[R]埋蔵文化</vt:lpstr>
      <vt:lpstr>[R]埋蔵文化_日数</vt:lpstr>
      <vt:lpstr>[R]埋蔵有着工日</vt:lpstr>
      <vt:lpstr>[R]名古屋宅造調書</vt:lpstr>
      <vt:lpstr>[R]名古屋宅造調書_日数</vt:lpstr>
      <vt:lpstr>[R]木と金</vt:lpstr>
      <vt:lpstr>[R]木のみ</vt:lpstr>
      <vt:lpstr>[R]緑化計画</vt:lpstr>
      <vt:lpstr>[R]緑化計画_日数</vt:lpstr>
      <vt:lpstr>_1F床面積</vt:lpstr>
      <vt:lpstr>_2F床面積</vt:lpstr>
      <vt:lpstr>_3F床面積</vt:lpstr>
      <vt:lpstr>【設契】15_付帯工事無</vt:lpstr>
      <vt:lpstr>【設契】契約金額</vt:lpstr>
      <vt:lpstr>【設契】粗利益額</vt:lpstr>
      <vt:lpstr>【設契】粗利率</vt:lpstr>
      <vt:lpstr>【設契】付帯無_粗利益額</vt:lpstr>
      <vt:lpstr>【設契】付帯無_粗利率</vt:lpstr>
      <vt:lpstr>【本契】15_付帯工事無</vt:lpstr>
      <vt:lpstr>【本契】契約金額</vt:lpstr>
      <vt:lpstr>【本契】粗利益額</vt:lpstr>
      <vt:lpstr>【本契】粗利率</vt:lpstr>
      <vt:lpstr>【本契】付帯無_粗利益額</vt:lpstr>
      <vt:lpstr>【本契】付帯無_粗利率</vt:lpstr>
      <vt:lpstr>■総計JSON</vt:lpstr>
      <vt:lpstr>A.建物工事_合計</vt:lpstr>
      <vt:lpstr>A.建物工事見積書JSON</vt:lpstr>
      <vt:lpstr>B.追加変更工事_合計</vt:lpstr>
      <vt:lpstr>B.追加変更工事見積書JSON</vt:lpstr>
      <vt:lpstr>C.付帯工事_合計</vt:lpstr>
      <vt:lpstr>C.付帯工事見積書JSON</vt:lpstr>
      <vt:lpstr>Class001</vt:lpstr>
      <vt:lpstr>Class002</vt:lpstr>
      <vt:lpstr>Class003</vt:lpstr>
      <vt:lpstr>Class004</vt:lpstr>
      <vt:lpstr>Class005</vt:lpstr>
      <vt:lpstr>Class006</vt:lpstr>
      <vt:lpstr>Class007</vt:lpstr>
      <vt:lpstr>Class008</vt:lpstr>
      <vt:lpstr>Class009</vt:lpstr>
      <vt:lpstr>Class013</vt:lpstr>
      <vt:lpstr>Class014</vt:lpstr>
      <vt:lpstr>Class015</vt:lpstr>
      <vt:lpstr>Class016</vt:lpstr>
      <vt:lpstr>Class017</vt:lpstr>
      <vt:lpstr>Class018</vt:lpstr>
      <vt:lpstr>Class019</vt:lpstr>
      <vt:lpstr>Class031</vt:lpstr>
      <vt:lpstr>Class032</vt:lpstr>
      <vt:lpstr>Class033</vt:lpstr>
      <vt:lpstr>Class034</vt:lpstr>
      <vt:lpstr>Class035</vt:lpstr>
      <vt:lpstr>Class036</vt:lpstr>
      <vt:lpstr>Class037</vt:lpstr>
      <vt:lpstr>Class038</vt:lpstr>
      <vt:lpstr>Class039</vt:lpstr>
      <vt:lpstr>Class040</vt:lpstr>
      <vt:lpstr>Class041</vt:lpstr>
      <vt:lpstr>Class042</vt:lpstr>
      <vt:lpstr>Class043</vt:lpstr>
      <vt:lpstr>Class044</vt:lpstr>
      <vt:lpstr>Class045</vt:lpstr>
      <vt:lpstr>Class046</vt:lpstr>
      <vt:lpstr>Class047</vt:lpstr>
      <vt:lpstr>ClassJ</vt:lpstr>
      <vt:lpstr>D.値引きなどJSON</vt:lpstr>
      <vt:lpstr>DateA</vt:lpstr>
      <vt:lpstr>DateB</vt:lpstr>
      <vt:lpstr>DateC</vt:lpstr>
      <vt:lpstr>H</vt:lpstr>
      <vt:lpstr>L</vt:lpstr>
      <vt:lpstr>Num007_</vt:lpstr>
      <vt:lpstr>Num008_</vt:lpstr>
      <vt:lpstr>Num009_</vt:lpstr>
      <vt:lpstr>Num021_</vt:lpstr>
      <vt:lpstr>Num022_</vt:lpstr>
      <vt:lpstr>Num023_</vt:lpstr>
      <vt:lpstr>Num024_</vt:lpstr>
      <vt:lpstr>Num031_</vt:lpstr>
      <vt:lpstr>Num032_</vt:lpstr>
      <vt:lpstr>Num033_</vt:lpstr>
      <vt:lpstr>Num034_</vt:lpstr>
      <vt:lpstr>Num035_</vt:lpstr>
      <vt:lpstr>Num036_</vt:lpstr>
      <vt:lpstr>Num037_</vt:lpstr>
      <vt:lpstr>Num038_</vt:lpstr>
      <vt:lpstr>Num039_</vt:lpstr>
      <vt:lpstr>Num040_</vt:lpstr>
      <vt:lpstr>Num041_</vt:lpstr>
      <vt:lpstr>Num042_</vt:lpstr>
      <vt:lpstr>Num043_</vt:lpstr>
      <vt:lpstr>NumA</vt:lpstr>
      <vt:lpstr>NumB</vt:lpstr>
      <vt:lpstr>NumC</vt:lpstr>
      <vt:lpstr>NumD</vt:lpstr>
      <vt:lpstr>NumE</vt:lpstr>
      <vt:lpstr>NumF</vt:lpstr>
      <vt:lpstr>NumG</vt:lpstr>
      <vt:lpstr>NumH</vt:lpstr>
      <vt:lpstr>NumI</vt:lpstr>
      <vt:lpstr>PH階床面積</vt:lpstr>
      <vt:lpstr>リードタイム算定書!Print_Area</vt:lpstr>
      <vt:lpstr>覚書!Print_Area</vt:lpstr>
      <vt:lpstr>工期計算v2!Print_Area</vt:lpstr>
      <vt:lpstr>'粗利益確認書(設計契約)'!Print_Area</vt:lpstr>
      <vt:lpstr>'粗利益確認書(本契約)'!Print_Area</vt:lpstr>
      <vt:lpstr>ResultId</vt:lpstr>
      <vt:lpstr>RW_LVL</vt:lpstr>
      <vt:lpstr>WF_確認申請GR</vt:lpstr>
      <vt:lpstr>WF_最終確認者</vt:lpstr>
      <vt:lpstr>WF_専務</vt:lpstr>
      <vt:lpstr>WF_総務GR</vt:lpstr>
      <vt:lpstr>WF_着工要因GR</vt:lpstr>
      <vt:lpstr>WF追変申請ID</vt:lpstr>
      <vt:lpstr>エリア</vt:lpstr>
      <vt:lpstr>エリア担当者</vt:lpstr>
      <vt:lpstr>お客様データID</vt:lpstr>
      <vt:lpstr>ガス工事_日付</vt:lpstr>
      <vt:lpstr>ガス工事_有無</vt:lpstr>
      <vt:lpstr>サービス_値引き等の内容・理由</vt:lpstr>
      <vt:lpstr>シート分類</vt:lpstr>
      <vt:lpstr>シート分類ID</vt:lpstr>
      <vt:lpstr>シート分類指定</vt:lpstr>
      <vt:lpstr>シリーズ</vt:lpstr>
      <vt:lpstr>シリーズjson</vt:lpstr>
      <vt:lpstr>ステータス</vt:lpstr>
      <vt:lpstr>ステータスID</vt:lpstr>
      <vt:lpstr>スマイノミライ60年保証申請</vt:lpstr>
      <vt:lpstr>セットバック_有無</vt:lpstr>
      <vt:lpstr>その他</vt:lpstr>
      <vt:lpstr>その他外構業者</vt:lpstr>
      <vt:lpstr>その他申請_決裁予定</vt:lpstr>
      <vt:lpstr>その他申請_提出予定</vt:lpstr>
      <vt:lpstr>その他申請_備考</vt:lpstr>
      <vt:lpstr>その他注意</vt:lpstr>
      <vt:lpstr>その他備考</vt:lpstr>
      <vt:lpstr>フラット35S_財形</vt:lpstr>
      <vt:lpstr>プロパン工事_日付</vt:lpstr>
      <vt:lpstr>プロパン工事_有無</vt:lpstr>
      <vt:lpstr>マニュアル外差異理由</vt:lpstr>
      <vt:lpstr>モジュール</vt:lpstr>
      <vt:lpstr>リードタイムデータ</vt:lpstr>
      <vt:lpstr>リードタイム算定ID</vt:lpstr>
      <vt:lpstr>レコードID</vt:lpstr>
      <vt:lpstr>レコードタイトル</vt:lpstr>
      <vt:lpstr>レコード名</vt:lpstr>
      <vt:lpstr>案内図_小運搬</vt:lpstr>
      <vt:lpstr>案内図_注意事項</vt:lpstr>
      <vt:lpstr>案内図_駐車場</vt:lpstr>
      <vt:lpstr>案内図_搬入路</vt:lpstr>
      <vt:lpstr>引渡予定参考日</vt:lpstr>
      <vt:lpstr>引渡予定日</vt:lpstr>
      <vt:lpstr>営業ID</vt:lpstr>
      <vt:lpstr>営業からの引継事項</vt:lpstr>
      <vt:lpstr>営業指定</vt:lpstr>
      <vt:lpstr>営業所ID</vt:lpstr>
      <vt:lpstr>営業所指定</vt:lpstr>
      <vt:lpstr>営業設計</vt:lpstr>
      <vt:lpstr>閲覧許可</vt:lpstr>
      <vt:lpstr>延床面積</vt:lpstr>
      <vt:lpstr>延床面積_坪</vt:lpstr>
      <vt:lpstr>家族構成</vt:lpstr>
      <vt:lpstr>外構の要望や好み</vt:lpstr>
      <vt:lpstr>外構業者</vt:lpstr>
      <vt:lpstr>外構工事_完了日</vt:lpstr>
      <vt:lpstr>外構工事_契約</vt:lpstr>
      <vt:lpstr>外構工事_着手日</vt:lpstr>
      <vt:lpstr>外構予算_概算・確定</vt:lpstr>
      <vt:lpstr>外構予算_金額</vt:lpstr>
      <vt:lpstr>外部仕様</vt:lpstr>
      <vt:lpstr>確認決済参考日</vt:lpstr>
      <vt:lpstr>確認申請_決裁予定</vt:lpstr>
      <vt:lpstr>確認申請_提出予定</vt:lpstr>
      <vt:lpstr>確認申請_備考</vt:lpstr>
      <vt:lpstr>確認提出参考日</vt:lpstr>
      <vt:lpstr>管理設計</vt:lpstr>
      <vt:lpstr>管理設計処理内容</vt:lpstr>
      <vt:lpstr>管理設計処理日</vt:lpstr>
      <vt:lpstr>管理設計承認者</vt:lpstr>
      <vt:lpstr>給水引込工事_日付</vt:lpstr>
      <vt:lpstr>給水引込工事_有無</vt:lpstr>
      <vt:lpstr>境界杭</vt:lpstr>
      <vt:lpstr>契約カウント月</vt:lpstr>
      <vt:lpstr>契約コード</vt:lpstr>
      <vt:lpstr>契約コード指定</vt:lpstr>
      <vt:lpstr>契約ブランド</vt:lpstr>
      <vt:lpstr>契約ブランドjson</vt:lpstr>
      <vt:lpstr>契約営業所</vt:lpstr>
      <vt:lpstr>契約営業所json</vt:lpstr>
      <vt:lpstr>契約会社</vt:lpstr>
      <vt:lpstr>契約会社json</vt:lpstr>
      <vt:lpstr>契約日</vt:lpstr>
      <vt:lpstr>建上地_カナ</vt:lpstr>
      <vt:lpstr>建上地_住居表示</vt:lpstr>
      <vt:lpstr>建上地_地名地番</vt:lpstr>
      <vt:lpstr>建上地_郵便番号</vt:lpstr>
      <vt:lpstr>建設解体工事_完了日</vt:lpstr>
      <vt:lpstr>建設解体工事_業者</vt:lpstr>
      <vt:lpstr>建設解体工事_契約</vt:lpstr>
      <vt:lpstr>建設解体工事_着手日</vt:lpstr>
      <vt:lpstr>建築面積_坪</vt:lpstr>
      <vt:lpstr>建築面積_平米</vt:lpstr>
      <vt:lpstr>建物種類</vt:lpstr>
      <vt:lpstr>建物保証</vt:lpstr>
      <vt:lpstr>検査機関</vt:lpstr>
      <vt:lpstr>見積備考</vt:lpstr>
      <vt:lpstr>現住所1</vt:lpstr>
      <vt:lpstr>現住所2</vt:lpstr>
      <vt:lpstr>現住所3</vt:lpstr>
      <vt:lpstr>現住所カナ</vt:lpstr>
      <vt:lpstr>現住所カナ1</vt:lpstr>
      <vt:lpstr>現住所カナ2</vt:lpstr>
      <vt:lpstr>現住所カナ3</vt:lpstr>
      <vt:lpstr>顧客コード</vt:lpstr>
      <vt:lpstr>工期計算ID</vt:lpstr>
      <vt:lpstr>工事名</vt:lpstr>
      <vt:lpstr>工事名_カナ</vt:lpstr>
      <vt:lpstr>工事名個別</vt:lpstr>
      <vt:lpstr>工事名個別_カナ</vt:lpstr>
      <vt:lpstr>更新者</vt:lpstr>
      <vt:lpstr>構造</vt:lpstr>
      <vt:lpstr>差し戻し履歴</vt:lpstr>
      <vt:lpstr>差戻し者</vt:lpstr>
      <vt:lpstr>差戻し内容</vt:lpstr>
      <vt:lpstr>差戻し日</vt:lpstr>
      <vt:lpstr>作成者</vt:lpstr>
      <vt:lpstr>作成日</vt:lpstr>
      <vt:lpstr>仕様打合せ日</vt:lpstr>
      <vt:lpstr>仕様打参考日</vt:lpstr>
      <vt:lpstr>支払いと請負の差異</vt:lpstr>
      <vt:lpstr>支払情報JSON</vt:lpstr>
      <vt:lpstr>支払代金_税込</vt:lpstr>
      <vt:lpstr>支払代金_税別</vt:lpstr>
      <vt:lpstr>支払備考</vt:lpstr>
      <vt:lpstr>施工会社</vt:lpstr>
      <vt:lpstr>施工会社json</vt:lpstr>
      <vt:lpstr>施主_勤続年数</vt:lpstr>
      <vt:lpstr>施主_勤務先</vt:lpstr>
      <vt:lpstr>施主_携帯電話</vt:lpstr>
      <vt:lpstr>施主_電話番号</vt:lpstr>
      <vt:lpstr>施主との約束</vt:lpstr>
      <vt:lpstr>資金承認</vt:lpstr>
      <vt:lpstr>事前決済参考日</vt:lpstr>
      <vt:lpstr>事前申請_決裁予定</vt:lpstr>
      <vt:lpstr>事前申請_提出予定</vt:lpstr>
      <vt:lpstr>事前申請_備考</vt:lpstr>
      <vt:lpstr>事前提出参考日</vt:lpstr>
      <vt:lpstr>主担当営業</vt:lpstr>
      <vt:lpstr>手配者</vt:lpstr>
      <vt:lpstr>集客事由</vt:lpstr>
      <vt:lpstr>住宅性能評価</vt:lpstr>
      <vt:lpstr>所属長</vt:lpstr>
      <vt:lpstr>所属長処理内容</vt:lpstr>
      <vt:lpstr>所属長処理日</vt:lpstr>
      <vt:lpstr>所属長承認者</vt:lpstr>
      <vt:lpstr>所長付</vt:lpstr>
      <vt:lpstr>小運搬の必要性_有無</vt:lpstr>
      <vt:lpstr>承認図</vt:lpstr>
      <vt:lpstr>承認図参考日</vt:lpstr>
      <vt:lpstr>消費税率</vt:lpstr>
      <vt:lpstr>紹介の種類</vt:lpstr>
      <vt:lpstr>紹介者</vt:lpstr>
      <vt:lpstr>紹介料</vt:lpstr>
      <vt:lpstr>上棟予定参考日</vt:lpstr>
      <vt:lpstr>上棟予定日</vt:lpstr>
      <vt:lpstr>浄化槽工事_人槽</vt:lpstr>
      <vt:lpstr>信用状況</vt:lpstr>
      <vt:lpstr>振込先</vt:lpstr>
      <vt:lpstr>新規申請者</vt:lpstr>
      <vt:lpstr>新規申請処理内容</vt:lpstr>
      <vt:lpstr>新規申請日</vt:lpstr>
      <vt:lpstr>深基礎</vt:lpstr>
      <vt:lpstr>申請状況</vt:lpstr>
      <vt:lpstr>図確参考日</vt:lpstr>
      <vt:lpstr>図面確定日</vt:lpstr>
      <vt:lpstr>世帯種別</vt:lpstr>
      <vt:lpstr>姓1</vt:lpstr>
      <vt:lpstr>姓2</vt:lpstr>
      <vt:lpstr>姓3</vt:lpstr>
      <vt:lpstr>姓カナ1</vt:lpstr>
      <vt:lpstr>姓カナ2</vt:lpstr>
      <vt:lpstr>姓カナ3</vt:lpstr>
      <vt:lpstr>性別1</vt:lpstr>
      <vt:lpstr>性別2</vt:lpstr>
      <vt:lpstr>性別3</vt:lpstr>
      <vt:lpstr>生年月日1</vt:lpstr>
      <vt:lpstr>生年月日2</vt:lpstr>
      <vt:lpstr>生年月日3</vt:lpstr>
      <vt:lpstr>請負金額_税込</vt:lpstr>
      <vt:lpstr>積算チェック者</vt:lpstr>
      <vt:lpstr>設契_管理設計処理内容</vt:lpstr>
      <vt:lpstr>設契_管理設計処理日</vt:lpstr>
      <vt:lpstr>設契_管理設計承認者</vt:lpstr>
      <vt:lpstr>設契_差戻し者</vt:lpstr>
      <vt:lpstr>設契_差戻し内容</vt:lpstr>
      <vt:lpstr>設契_差戻し日</vt:lpstr>
      <vt:lpstr>設契_所属長処理内容</vt:lpstr>
      <vt:lpstr>設契_所属長処理日</vt:lpstr>
      <vt:lpstr>設契_所属長承認者</vt:lpstr>
      <vt:lpstr>設契_新規申請者</vt:lpstr>
      <vt:lpstr>設契_新規申請処理内容</vt:lpstr>
      <vt:lpstr>設契_新規申請日</vt:lpstr>
      <vt:lpstr>設契_専務処理内容</vt:lpstr>
      <vt:lpstr>設契_専務処理日</vt:lpstr>
      <vt:lpstr>設契_専務承認者</vt:lpstr>
      <vt:lpstr>設契_総務処理内容</vt:lpstr>
      <vt:lpstr>設契_総務処理日</vt:lpstr>
      <vt:lpstr>設契_総務承認者</vt:lpstr>
      <vt:lpstr>設契_着工要因処理内容</vt:lpstr>
      <vt:lpstr>設契_着工要因処理日</vt:lpstr>
      <vt:lpstr>設契_着工要因承認者</vt:lpstr>
      <vt:lpstr>設契_役員処理内容</vt:lpstr>
      <vt:lpstr>設契_役員処理日</vt:lpstr>
      <vt:lpstr>設契_役員承認者</vt:lpstr>
      <vt:lpstr>設計ID</vt:lpstr>
      <vt:lpstr>設計契約</vt:lpstr>
      <vt:lpstr>設計契約→本契約</vt:lpstr>
      <vt:lpstr>設計契約金</vt:lpstr>
      <vt:lpstr>設計契約金支払日</vt:lpstr>
      <vt:lpstr>設計契約日</vt:lpstr>
      <vt:lpstr>設計指定</vt:lpstr>
      <vt:lpstr>専務処理内容</vt:lpstr>
      <vt:lpstr>専務処理日</vt:lpstr>
      <vt:lpstr>専務承認者</vt:lpstr>
      <vt:lpstr>粗利益計算書ID</vt:lpstr>
      <vt:lpstr>組織名</vt:lpstr>
      <vt:lpstr>総務処理内容</vt:lpstr>
      <vt:lpstr>総務処理日</vt:lpstr>
      <vt:lpstr>総務承認者</vt:lpstr>
      <vt:lpstr>太陽光システム_種類</vt:lpstr>
      <vt:lpstr>太陽光システム_有無</vt:lpstr>
      <vt:lpstr>太陽光請負金額</vt:lpstr>
      <vt:lpstr>担当IC</vt:lpstr>
      <vt:lpstr>担当監督</vt:lpstr>
      <vt:lpstr>担当役員</vt:lpstr>
      <vt:lpstr>地下面積</vt:lpstr>
      <vt:lpstr>地鎮祭</vt:lpstr>
      <vt:lpstr>地盤調査</vt:lpstr>
      <vt:lpstr>地盤調査参考日</vt:lpstr>
      <vt:lpstr>地目</vt:lpstr>
      <vt:lpstr>着工予定参考日</vt:lpstr>
      <vt:lpstr>着工予定日</vt:lpstr>
      <vt:lpstr>着工要因処理内容</vt:lpstr>
      <vt:lpstr>着工要因処理日</vt:lpstr>
      <vt:lpstr>着工要因承認者</vt:lpstr>
      <vt:lpstr>仲介業者</vt:lpstr>
      <vt:lpstr>直近</vt:lpstr>
      <vt:lpstr>追加変更ID</vt:lpstr>
      <vt:lpstr>追加変更期限</vt:lpstr>
      <vt:lpstr>土地残金日</vt:lpstr>
      <vt:lpstr>土地所有者</vt:lpstr>
      <vt:lpstr>土地所有者_続柄</vt:lpstr>
      <vt:lpstr>道路斜面緩和_有無</vt:lpstr>
      <vt:lpstr>内税</vt:lpstr>
      <vt:lpstr>内部仕様</vt:lpstr>
      <vt:lpstr>年齢1</vt:lpstr>
      <vt:lpstr>年齢2</vt:lpstr>
      <vt:lpstr>年齢3</vt:lpstr>
      <vt:lpstr>農地転用</vt:lpstr>
      <vt:lpstr>派生コードチェック</vt:lpstr>
      <vt:lpstr>派生契約コード</vt:lpstr>
      <vt:lpstr>排水引込工事_日付</vt:lpstr>
      <vt:lpstr>排水引込工事_有無</vt:lpstr>
      <vt:lpstr>発注者</vt:lpstr>
      <vt:lpstr>発注者_カナ</vt:lpstr>
      <vt:lpstr>敷地造成工事_完了日</vt:lpstr>
      <vt:lpstr>敷地造成工事_業者</vt:lpstr>
      <vt:lpstr>敷地造成工事_契約</vt:lpstr>
      <vt:lpstr>敷地造成工事_着手日</vt:lpstr>
      <vt:lpstr>副担当営業</vt:lpstr>
      <vt:lpstr>物件種別</vt:lpstr>
      <vt:lpstr>壁面後退や控え壁についての条件</vt:lpstr>
      <vt:lpstr>保証年数</vt:lpstr>
      <vt:lpstr>補助金_有無</vt:lpstr>
      <vt:lpstr>法人チェック</vt:lpstr>
      <vt:lpstr>法人代表者名</vt:lpstr>
      <vt:lpstr>法人代表者名カナ</vt:lpstr>
      <vt:lpstr>法人名</vt:lpstr>
      <vt:lpstr>法人名カナ</vt:lpstr>
      <vt:lpstr>防火</vt:lpstr>
      <vt:lpstr>本契約移行日</vt:lpstr>
      <vt:lpstr>名1</vt:lpstr>
      <vt:lpstr>名2</vt:lpstr>
      <vt:lpstr>名3</vt:lpstr>
      <vt:lpstr>名カナ1</vt:lpstr>
      <vt:lpstr>名カナ2</vt:lpstr>
      <vt:lpstr>名カナ3</vt:lpstr>
      <vt:lpstr>役員ID</vt:lpstr>
      <vt:lpstr>役員指定</vt:lpstr>
      <vt:lpstr>役員処理内容</vt:lpstr>
      <vt:lpstr>役員処理日</vt:lpstr>
      <vt:lpstr>役員承認者</vt:lpstr>
      <vt:lpstr>役所調査依頼</vt:lpstr>
      <vt:lpstr>郵便番号1</vt:lpstr>
      <vt:lpstr>郵便番号2</vt:lpstr>
      <vt:lpstr>郵便番号3</vt:lpstr>
      <vt:lpstr>緑化計画_有無</vt:lpstr>
      <vt:lpstr>瑕疵保険限度額</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健一郎 野木</dc:creator>
  <cp:lastModifiedBy>NTK.OFFICE.075</cp:lastModifiedBy>
  <cp:lastPrinted>2025-03-08T04:44:31Z</cp:lastPrinted>
  <dcterms:created xsi:type="dcterms:W3CDTF">2024-05-11T00:08:19Z</dcterms:created>
  <dcterms:modified xsi:type="dcterms:W3CDTF">2026-03-23T05:35:08Z</dcterms:modified>
</cp:coreProperties>
</file>